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How to use" state="visible" r:id="rId4"/>
    <sheet sheetId="2" name="Methodology declaration" state="visible" r:id="rId5"/>
    <sheet sheetId="3" name="Units" state="visible" r:id="rId6"/>
    <sheet sheetId="4" name="By class" state="visible" r:id="rId7"/>
    <sheet sheetId="5" name="Trend" state="visible" r:id="rId8"/>
    <sheet sheetId="6" name="Sources &amp; method" state="visible" r:id="rId9"/>
  </sheets>
  <definedNames>
    <definedName name="_xlnm.Print_Area" localSheetId="1">'Methodology declaration'!$A1:$C15</definedName>
    <definedName name="_xlnm.Print_Area" localSheetId="2">'Units'!$A1:$AF13</definedName>
    <definedName name="_xlnm.Print_Titles" localSheetId="2">'Units'!$4:$4</definedName>
    <definedName name="_xlnm.Print_Area" localSheetId="3">'By class'!$A1:$G14</definedName>
    <definedName name="_xlnm.Print_Titles" localSheetId="3">'By class'!$4:$4</definedName>
    <definedName name="_xlnm.Print_Area" localSheetId="4">'Trend'!$A1:$P27</definedName>
    <definedName name="_xlnm.Print_Titles" localSheetId="4">'Trend'!$4:$4</definedName>
  </definedNames>
  <calcPr calcId="171027"/>
</workbook>
</file>

<file path=xl/sharedStrings.xml><?xml version="1.0" encoding="utf-8"?>
<sst xmlns="http://schemas.openxmlformats.org/spreadsheetml/2006/main" count="187" uniqueCount="139">
  <si>
    <t>Cost per mile / cost per hour workbook</t>
  </si>
  <si>
    <t>Version 1.0 — 2026-07-01</t>
  </si>
  <si>
    <t>Input — change this</t>
  </si>
  <si>
    <t>Calculated — do not type here</t>
  </si>
  <si>
    <t>Cost per mile is the most quoted and least comparable number in fleet management. Two fleets running identical vehicles can report figures three times apart purely because of what they counted. This workbook makes what you counted explicit, and then prints it alongside the number.</t>
  </si>
  <si>
    <t>Answer the six questions on Methodology declaration first. They are not documentation — they switch cost lines in and out of the arithmetic on every other sheet, and the sentence they produce appears at the top of Units, By class and Trend.</t>
  </si>
  <si>
    <t>Depreciation is the line most often missing. Purchase price including upfit, less expected resale, over service life. On a light-duty unit it is usually the largest single cost, and leaving it out is the most common reason a cost per mile figure is quietly wrong.</t>
  </si>
  <si>
    <t>Every unit gets both a cost per mile and a cost per hour. For anything with a PTO — bucket trucks, sweepers, aerial units — miles are the wrong denominator: a truck that drives 4,200 miles and runs 940 engine hours is not a low-use asset, but its cost per mile will say it is.</t>
  </si>
  <si>
    <t>Fixed and variable are split because the two halves lead to different decisions. A high fixed share means the unit is underused, and the answer is redeployment or disposal, not better driving. A high variable share means it is working hard, and the answer is in fuel, maintenance practice or duty cycle.</t>
  </si>
  <si>
    <t>Any unit whose fixed share exceeds 60% is flagged on the Units sheet. Treat the flag as a question, not a verdict — a plow truck that sits until it snows is doing its job.</t>
  </si>
  <si>
    <t>By class is the only rollup provided. A fleet-wide blended figure across a mixed fleet is an arithmetic artefact, so it is deliberately absent; the note on that sheet explains why.</t>
  </si>
  <si>
    <t>Trend holds twelve months of cost and usage per unit. Each unit carries its own denominator — set the dropdown on its usage row to Miles or Engine hours and the rate row follows. Same unit over time, and same class against itself, are the two comparisons that are actually valid.</t>
  </si>
  <si>
    <t>Do not use a published benchmark as a target. The figures that circulate come from content that does not disclose sample size, vehicle mix, or whether depreciation and overhead are in them.</t>
  </si>
  <si>
    <t>Nothing is locked or password protected. Insert rows, add units, change the declaration.</t>
  </si>
  <si>
    <t>Change these three before the numbers mean anything:</t>
  </si>
  <si>
    <t>•  Methodology declaration → the six answers: they change every number in the workbook, not just the wording</t>
  </si>
  <si>
    <t>•  Units → Purchase price incl. upfit ($) and Expected resale ($): depreciation is computed from these, and it is usually the largest line</t>
  </si>
  <si>
    <t>•  Units → Miles/yr and Engine hours/yr: fixed cost divides by these, so a wrong denominator is a wrong answer</t>
  </si>
  <si>
    <t>Methodology declaration — what is inside this fleet’s cost per mile</t>
  </si>
  <si>
    <t>A cost per mile is only comparable to another cost per mile computed the same way. Answer these six, and the answers travel with every number in this workbook.</t>
  </si>
  <si>
    <t>Question</t>
  </si>
  <si>
    <t>Answer</t>
  </si>
  <si>
    <t>Why it matters</t>
  </si>
  <si>
    <t>Is depreciation included? (purchase incl. upfit less expected resale, over service life)</t>
  </si>
  <si>
    <t>Yes</t>
  </si>
  <si>
    <t>On a light-duty unit this is usually the largest single line. Answering No is the most common reason a cost per mile figure is quietly wrong.</t>
  </si>
  <si>
    <t>Is internal shop labour included at a loaded rate? (wages + benefits + shop overhead)</t>
  </si>
  <si>
    <t>Counting only outside repair invoices understates maintenance cost, and then in-house looks cheaper than it is.</t>
  </si>
  <si>
    <t>Is allocated fleet administration overhead included?</t>
  </si>
  <si>
    <t>A genuine judgement call. Include it and the number is the true cost of the service; exclude it and the number is cleaner for comparing units. Doing it differently between classes is the only wrong answer.</t>
  </si>
  <si>
    <t>Is accident damage excluded? (Yes = excluded, tracked separately)</t>
  </si>
  <si>
    <t>Accident damage reflects an event, not the cost of operating the asset. One collision distorts a unit for years.</t>
  </si>
  <si>
    <t>Are PM consumables included? (DEF, washer fluid, washing, shop supplies)</t>
  </si>
  <si>
    <t>Small per unit, and the line most often forgotten entirely.</t>
  </si>
  <si>
    <t>Which denominator do you report? (Miles or Hours)</t>
  </si>
  <si>
    <t>Miles</t>
  </si>
  <si>
    <t>If the engine runs when the wheels do not — bucket trucks, sweepers, anything with a PTO — hours are the more honest measure. Both are computed either way; this sets which one the Reported column carries.</t>
  </si>
  <si>
    <t>Declaration as it will print with every figure:</t>
  </si>
  <si>
    <t>Do not compare the result against a published benchmark. The $1.82/mi "industry average" that circulates discloses no sample size, no vehicle mix, and not whether depreciation or overhead are included. The three comparisons that are valid: the same unit quarter over quarter, units of the same class and duty cycle against each other, and your own figure by class year over year.</t>
  </si>
  <si>
    <t>EXAMPLE DATA — replace before use. Delete this row once you have your own numbers.</t>
  </si>
  <si>
    <t>Unit number</t>
  </si>
  <si>
    <t>Class</t>
  </si>
  <si>
    <t>Year / make / model</t>
  </si>
  <si>
    <t>Purchase price incl. upfit ($)</t>
  </si>
  <si>
    <t>Expected resale ($)</t>
  </si>
  <si>
    <t>Service life (years)</t>
  </si>
  <si>
    <t>Insurance ($/yr)</t>
  </si>
  <si>
    <t>Licensing &amp; registration ($/yr)</t>
  </si>
  <si>
    <t>Interest / financing ($/yr)</t>
  </si>
  <si>
    <t>Allocated overhead ($/yr)</t>
  </si>
  <si>
    <t>Fuel or energy ($/yr)</t>
  </si>
  <si>
    <t>Internal labour (hours/yr)</t>
  </si>
  <si>
    <t>Loaded labour rate ($/hr)</t>
  </si>
  <si>
    <t>Outside repair ($/yr)</t>
  </si>
  <si>
    <t>Parts ($/yr)</t>
  </si>
  <si>
    <t>Tires ($/yr)</t>
  </si>
  <si>
    <t>Consumables — DEF, fluids, washing ($/yr)</t>
  </si>
  <si>
    <t>Accident damage ($/yr)</t>
  </si>
  <si>
    <t>Miles/yr</t>
  </si>
  <si>
    <t>Engine hours/yr</t>
  </si>
  <si>
    <t>Depreciation ($/yr)</t>
  </si>
  <si>
    <t>TOTAL FIXED ($/yr)</t>
  </si>
  <si>
    <t>Internal labour ($/yr)</t>
  </si>
  <si>
    <t>TOTAL VARIABLE ($/yr)</t>
  </si>
  <si>
    <t>Total annual cost ($/yr)</t>
  </si>
  <si>
    <t>COST PER MILE ($/mi)</t>
  </si>
  <si>
    <t>COST PER HOUR ($/hr)</t>
  </si>
  <si>
    <t>Reported per declared denominator ($/mi or $/hr)</t>
  </si>
  <si>
    <t>Fixed share (% of total)</t>
  </si>
  <si>
    <t>Variable ($/mi)</t>
  </si>
  <si>
    <t>Variable ($/hr)</t>
  </si>
  <si>
    <t>Redeployment flag</t>
  </si>
  <si>
    <t>UNIT-1042</t>
  </si>
  <si>
    <t>LD-SED</t>
  </si>
  <si>
    <t>2021 sedan, administrative pool</t>
  </si>
  <si>
    <t>UNIT-1108</t>
  </si>
  <si>
    <t>LD-PU</t>
  </si>
  <si>
    <t>2020 half-ton pickup, inspections</t>
  </si>
  <si>
    <t>UNIT-1207</t>
  </si>
  <si>
    <t>2019 half-ton pickup, parks — low mileage</t>
  </si>
  <si>
    <t>UNIT-2210</t>
  </si>
  <si>
    <t>MD-DUMP</t>
  </si>
  <si>
    <t>2018 single-axle dump with plow package</t>
  </si>
  <si>
    <t>UNIT-2305</t>
  </si>
  <si>
    <t>HD-REFUSE</t>
  </si>
  <si>
    <t>2019 rear-loader refuse packer</t>
  </si>
  <si>
    <t>UNIT-3401</t>
  </si>
  <si>
    <t>EQ-BUCKET</t>
  </si>
  <si>
    <t>2017 bucket truck, PTO-heavy — hours, not miles</t>
  </si>
  <si>
    <t>UNIT-3502</t>
  </si>
  <si>
    <t>EQ-SWEEPER</t>
  </si>
  <si>
    <t>2020 street sweeper — hours, not miles</t>
  </si>
  <si>
    <t>Accident damage has its own input column so the declaration switch has something to act on: answer "Yes" to the exclusion question and the column is ignored, but the number stays visible and trackable. Downtime is deliberately absent — it is real and expensive, and forcing a dollar figure into this calculation is how the calculation stops being defensible. Track it separately.</t>
  </si>
  <si>
    <t>Units in class (count)</t>
  </si>
  <si>
    <t>Total miles/yr</t>
  </si>
  <si>
    <t>Total engine hours/yr</t>
  </si>
  <si>
    <t>Class cost per mile ($/mi)</t>
  </si>
  <si>
    <t>Class cost per hour ($/hr)</t>
  </si>
  <si>
    <t>There is no fleet-wide blended cost per mile on this sheet, and that is deliberate. Fixed cost divides by miles, so the same truck at 6,000 and at 24,000 miles a year produces dramatically different figures while costing the same to own — and a sedan and a tandem-axle dump truck do not share a denominator. Any single number across a mixed fleet is an arithmetic artefact. Compare by class, and compare year over year against yourself.</t>
  </si>
  <si>
    <t>Class cost per hour is blank for classes that do not meter engine hours. For anything with a PTO, read the hour column and ignore the mile column — that is the honest measure for a unit whose engine runs when the wheels do not.</t>
  </si>
  <si>
    <t>Line (units as labelled)</t>
  </si>
  <si>
    <t>Month 1 (per row label)</t>
  </si>
  <si>
    <t>Month 2 (per row label)</t>
  </si>
  <si>
    <t>Month 3 (per row label)</t>
  </si>
  <si>
    <t>Month 4 (per row label)</t>
  </si>
  <si>
    <t>Month 5 (per row label)</t>
  </si>
  <si>
    <t>Month 6 (per row label)</t>
  </si>
  <si>
    <t>Month 7 (per row label)</t>
  </si>
  <si>
    <t>Month 8 (per row label)</t>
  </si>
  <si>
    <t>Month 9 (per row label)</t>
  </si>
  <si>
    <t>Month 10 (per row label)</t>
  </si>
  <si>
    <t>Month 11 (per row label)</t>
  </si>
  <si>
    <t>Month 12 (per row label)</t>
  </si>
  <si>
    <t>12-month change ($/mi or $/hr)</t>
  </si>
  <si>
    <t>12-month change (%)</t>
  </si>
  <si>
    <t>Total cost ($)</t>
  </si>
  <si>
    <t>Engine hours</t>
  </si>
  <si>
    <t>Enter monthly total cost and monthly usage; the rate row is computed. Each unit carries its own denominator — the second row of every block is a dropdown reading Miles or Engine hours, and the rate row renames itself to match. The two PTO-heavy units ship on hours, because trending their cost per mile would contradict every other sheet in this workbook. Read the shape, not the level: a step change in one unit matters more than a high number, and it is one input to replacement scoring. The percent column is shaded where a unit has risen more than 10% across the twelve months. Sparkline charts are not used here on purpose — they do not survive an .xlsx round trip through Google Sheets or LibreOffice, and the change columns say the same thing in numbers you can defend.</t>
  </si>
  <si>
    <t>What actually belongs in cost per mile</t>
  </si>
  <si>
    <t>Companion to https://fleetdesk.axionfleetai.com/guides/cost-per-mile/</t>
  </si>
  <si>
    <t>Version 1.0 — reviewed 2026-07-01</t>
  </si>
  <si>
    <t>Sources</t>
  </si>
  <si>
    <t>Sources marked PRIMARY are regulators, standards bodies or government publications. Anything unmarked is trade press or vendor-published and should be treated as directional.</t>
  </si>
  <si>
    <t>FHWA — Highway statistics and vehicle operating cost methodology</t>
  </si>
  <si>
    <t>PRIMARY</t>
  </si>
  <si>
    <t>Bureau of Labor Statistics — Producer Price Index, motor vehicle parts (for grounding parts cost escalation in something other than a blog)</t>
  </si>
  <si>
    <t>Geotab — Fleet management KPIs — vendor-published, directional. The widely quoted $1.82/mi "industry average" discloses no sample size, no vehicle mix, and not whether depreciation or overhead are included. Do not use it as a target.</t>
  </si>
  <si>
    <t>Record your own decisions</t>
  </si>
  <si>
    <t>The guide asks you to write these down. They travel with the workbook.</t>
  </si>
  <si>
    <t>Trailing period these annual figures cover (e.g. FY2026, or 12 months to 30 June):</t>
  </si>
  <si>
    <t/>
  </si>
  <si>
    <t>Where depreciation came from (finance system, capital plan, or computed here):</t>
  </si>
  <si>
    <t>Basis of the loaded labour rate, and who approved it:</t>
  </si>
  <si>
    <t>Overhead allocation basis, applied identically to every class:</t>
  </si>
  <si>
    <t>Benchmark figures consulted, and why they are not used as targets:</t>
  </si>
  <si>
    <t>About this template</t>
  </si>
  <si>
    <t>Published by Fleet Desk — https://fleetdesk.axionfleetai.com</t>
  </si>
  <si>
    <t>Free to use, adapt and distribute, including commercially. No attribution required.</t>
  </si>
  <si>
    <t>Sponsored by Axion (axionfleetai.com), which had no editorial control over this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</si>
</sst>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6" x14ac:knownFonts="1">
    <font>
      <color theme="1"/>
      <family val="2"/>
      <scheme val="minor"/>
      <sz val="11"/>
      <name val="Calibri"/>
    </font>
    <font>
      <b/>
      <sz val="14"/>
    </font>
    <font>
      <color rgb="FF666666"/>
      <sz val="9"/>
    </font>
    <font>
      <b/>
      <sz val="9"/>
    </font>
    <font>
      <sz val="10"/>
    </font>
    <font>
      <b/>
      <sz val="10"/>
    </font>
    <font>
      <b/>
      <sz val="13"/>
    </font>
    <font>
      <i/>
      <sz val="10"/>
    </font>
    <font>
      <b/>
      <color rgb="FFFFFFFF"/>
      <sz val="9"/>
    </font>
    <font>
      <i/>
      <sz val="9"/>
    </font>
    <font>
      <b/>
      <color rgb="FF23414B"/>
      <sz val="9"/>
    </font>
    <font>
      <b/>
      <color rgb="FF8A1C1C"/>
      <sz val="10"/>
    </font>
    <font>
      <sz val="9"/>
    </font>
    <font>
      <b/>
      <sz val="11"/>
    </font>
    <font>
      <u/>
      <color rgb="FF1F5E70"/>
      <sz val="10"/>
    </font>
    <font>
      <b/>
      <color rgb="FF1F5E70"/>
      <sz val="8"/>
    </font>
  </fonts>
  <fills count="7">
    <fill>
      <patternFill patternType="none"/>
    </fill>
    <fill>
      <patternFill patternType="gray125"/>
    </fill>
    <fill>
      <patternFill patternType="solid">
        <fgColor rgb="FFFDF1D6"/>
      </patternFill>
    </fill>
    <fill>
      <patternFill patternType="solid">
        <fgColor rgb="FFE8EEF2"/>
      </patternFill>
    </fill>
    <fill>
      <patternFill patternType="solid">
        <fgColor rgb="FFFFF7CC"/>
      </patternFill>
    </fill>
    <fill>
      <patternFill patternType="solid">
        <fgColor rgb="FF23414B"/>
      </patternFill>
    </fill>
    <fill>
      <patternFill patternType="solid">
        <fgColor rgb="FFF6D5D5"/>
      </patternFill>
    </fill>
  </fills>
  <borders count="2">
    <border>
      <left/>
      <right/>
      <top/>
      <bottom/>
      <diagonal/>
    </border>
    <border>
      <left/>
      <right/>
      <top/>
      <bottom style="hair"/>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2" borderId="0" xfId="0" applyFont="1" applyFill="1"/>
    <xf numFmtId="0" fontId="3" fillId="3" borderId="0" xfId="0" applyFont="1" applyFill="1"/>
    <xf numFmtId="0" fontId="4" fillId="0" borderId="0" xfId="0" applyFont="1" applyAlignment="1">
      <alignment vertical="top" wrapText="1"/>
    </xf>
    <xf numFmtId="0" fontId="5" fillId="0" borderId="0" xfId="0" applyFont="1"/>
    <xf numFmtId="0" fontId="4" fillId="4" borderId="0" xfId="0" applyFont="1" applyFill="1"/>
    <xf numFmtId="0" fontId="6" fillId="0" borderId="0" xfId="0" applyFont="1"/>
    <xf numFmtId="0" fontId="7" fillId="0" borderId="0" xfId="0" applyFont="1" applyAlignment="1">
      <alignment wrapText="1"/>
    </xf>
    <xf numFmtId="0" fontId="8" fillId="5" borderId="0" xfId="0" applyFont="1" applyFill="1" applyAlignment="1">
      <alignment vertical="bottom" wrapText="1"/>
    </xf>
    <xf numFmtId="0" fontId="5" fillId="2" borderId="0" xfId="0" applyFont="1" applyFill="1" applyAlignment="1">
      <alignment horizontal="center"/>
    </xf>
    <xf numFmtId="0" fontId="9" fillId="0" borderId="0" xfId="0" applyFont="1" applyAlignment="1">
      <alignment vertical="top" wrapText="1"/>
    </xf>
    <xf numFmtId="0" fontId="4" fillId="3" borderId="0" xfId="0" applyFont="1" applyFill="1" applyAlignment="1">
      <alignment vertical="top" wrapText="1"/>
    </xf>
    <xf numFmtId="0" fontId="10" fillId="3" borderId="0" xfId="0" applyFont="1" applyFill="1" applyAlignment="1">
      <alignment vertical="center" wrapText="1"/>
    </xf>
    <xf numFmtId="0" fontId="11" fillId="6" borderId="0" xfId="0" applyFont="1" applyFill="1"/>
    <xf numFmtId="0" fontId="0" fillId="2" borderId="0" xfId="0" applyFill="1"/>
    <xf numFmtId="3" fontId="0" fillId="2" borderId="0" xfId="0" applyNumberFormat="1" applyFill="1"/>
    <xf numFmtId="4" fontId="0" fillId="2" borderId="0" xfId="0" applyNumberFormat="1" applyFill="1"/>
    <xf numFmtId="3" fontId="0" fillId="3" borderId="0" xfId="0" applyNumberFormat="1" applyFill="1"/>
    <xf numFmtId="164" fontId="0" fillId="3" borderId="0" xfId="0" applyNumberFormat="1" applyFill="1"/>
    <xf numFmtId="4" fontId="0" fillId="3" borderId="0" xfId="0" applyNumberFormat="1" applyFill="1"/>
    <xf numFmtId="165" fontId="0" fillId="3" borderId="0" xfId="0" applyNumberFormat="1" applyFill="1"/>
    <xf numFmtId="0" fontId="9" fillId="3" borderId="0" xfId="0" applyFont="1" applyFill="1" applyAlignment="1">
      <alignment wrapText="1"/>
    </xf>
    <xf numFmtId="0" fontId="9" fillId="0" borderId="0" xfId="0" applyFont="1" applyAlignment="1">
      <alignment wrapText="1"/>
    </xf>
    <xf numFmtId="0" fontId="5" fillId="2" borderId="0" xfId="0" applyFont="1" applyFill="1"/>
    <xf numFmtId="0" fontId="12" fillId="0" borderId="0" xfId="0" applyFont="1"/>
    <xf numFmtId="0" fontId="12" fillId="3" borderId="0" xfId="0" applyFont="1" applyFill="1"/>
    <xf numFmtId="0" fontId="13" fillId="0" borderId="0" xfId="0" applyFont="1"/>
    <xf numFmtId="0" fontId="4" fillId="0" borderId="0" xfId="0" applyFont="1" applyAlignment="1">
      <alignment wrapText="1"/>
    </xf>
    <xf numFmtId="0" fontId="14" fillId="0" borderId="0" xfId="0" applyFont="1"/>
    <xf numFmtId="0" fontId="15" fillId="0" borderId="0" xfId="0" applyFont="1"/>
    <xf numFmtId="0" fontId="4" fillId="0" borderId="0" xfId="0" applyFont="1"/>
    <xf numFmtId="0" fontId="0" fillId="2" borderId="1" xfId="0" applyFill="1" applyBorder="1"/>
  </cellXfs>
  <cellStyles count="1">
    <cellStyle name="Normal" xfId="0" builtinId="0"/>
  </cellStyles>
  <dxfs count="2">
    <dxf>
      <fill>
        <patternFill patternType="solid">
          <fgColor rgb="FFFDE2E2"/>
        </patternFill>
      </fill>
    </dxf>
    <dxf>
      <fill>
        <patternFill patternType="solid">
          <f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hyperlink" Target="https://www.fhwa.dot.gov/policyinformation/statistics.cfm" TargetMode="External"/><Relationship Id="rId2" Type="http://schemas.openxmlformats.org/officeDocument/2006/relationships/hyperlink" Target="https://www.bls.gov/ppi/" TargetMode="External"/><Relationship Id="rId3" Type="http://schemas.openxmlformats.org/officeDocument/2006/relationships/hyperlink" Target="https://www.geotab.com/blog/fleet-management-kp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1" width="96" customWidth="1"/>
  </cols>
  <sheetData>
    <row r="1" spans="1:1" x14ac:dyDescent="0.25">
      <c r="A1" s="1" t="s">
        <v>0</v>
      </c>
    </row>
    <row r="2" spans="1:1" x14ac:dyDescent="0.25">
      <c r="A2" s="2" t="s">
        <v>1</v>
      </c>
    </row>
    <row r="4" spans="1:6" x14ac:dyDescent="0.25">
      <c r="A4" s="3" t="s">
        <v>2</v>
      </c>
      <c r="B4" s="3"/>
      <c r="C4" s="3"/>
      <c r="D4" s="4" t="s">
        <v>3</v>
      </c>
      <c r="E4" s="4"/>
      <c r="F4" s="4"/>
    </row>
    <row r="6" ht="28" customHeight="1" spans="1:1" x14ac:dyDescent="0.25">
      <c r="A6" s="5" t="s">
        <v>4</v>
      </c>
    </row>
    <row r="7" ht="28" customHeight="1" spans="1:1" x14ac:dyDescent="0.25">
      <c r="A7" s="5" t="s">
        <v>5</v>
      </c>
    </row>
    <row r="8" ht="28" customHeight="1" spans="1:1" x14ac:dyDescent="0.25">
      <c r="A8" s="5" t="s">
        <v>6</v>
      </c>
    </row>
    <row r="9" ht="28" customHeight="1" spans="1:1" x14ac:dyDescent="0.25">
      <c r="A9" s="5" t="s">
        <v>7</v>
      </c>
    </row>
    <row r="10" ht="28" customHeight="1" spans="1:1" x14ac:dyDescent="0.25">
      <c r="A10" s="5" t="s">
        <v>8</v>
      </c>
    </row>
    <row r="11" ht="28" customHeight="1" spans="1:1" x14ac:dyDescent="0.25">
      <c r="A11" s="5" t="s">
        <v>9</v>
      </c>
    </row>
    <row r="12" ht="28" customHeight="1" spans="1:1" x14ac:dyDescent="0.25">
      <c r="A12" s="5" t="s">
        <v>10</v>
      </c>
    </row>
    <row r="13" ht="28" customHeight="1" spans="1:1" x14ac:dyDescent="0.25">
      <c r="A13" s="5" t="s">
        <v>11</v>
      </c>
    </row>
    <row r="14" ht="28" customHeight="1" spans="1:1" x14ac:dyDescent="0.25">
      <c r="A14" s="5" t="s">
        <v>12</v>
      </c>
    </row>
    <row r="15" ht="15" customHeight="1" spans="1:1" x14ac:dyDescent="0.25">
      <c r="A15" s="5" t="s">
        <v>13</v>
      </c>
    </row>
    <row r="17" spans="1:1" x14ac:dyDescent="0.25">
      <c r="A17" s="6" t="s">
        <v>14</v>
      </c>
    </row>
    <row r="18" spans="1:1" x14ac:dyDescent="0.25">
      <c r="A18" s="7" t="s">
        <v>15</v>
      </c>
    </row>
    <row r="19" spans="1:1" x14ac:dyDescent="0.25">
      <c r="A19" s="7" t="s">
        <v>16</v>
      </c>
    </row>
    <row r="20" spans="1:1" x14ac:dyDescent="0.25">
      <c r="A20" s="7" t="s">
        <v>17</v>
      </c>
    </row>
  </sheetData>
  <mergeCells count="2">
    <mergeCell ref="A4:C4"/>
    <mergeCell ref="D4:F4"/>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FormatPr defaultRowHeight="15" outlineLevelRow="0" outlineLevelCol="0" x14ac:dyDescent="55"/>
  <cols>
    <col min="1" max="1" width="72" customWidth="1"/>
    <col min="2" max="2" width="12" customWidth="1"/>
    <col min="3" max="3" width="74" customWidth="1"/>
  </cols>
  <sheetData>
    <row r="1" spans="1:1" x14ac:dyDescent="0.25">
      <c r="A1" s="8" t="s">
        <v>18</v>
      </c>
    </row>
    <row r="2" ht="26" customHeight="1" spans="1:3" x14ac:dyDescent="0.25">
      <c r="A2" s="9" t="s">
        <v>19</v>
      </c>
      <c r="B2" s="9"/>
      <c r="C2" s="9"/>
    </row>
    <row r="3" spans="1:6" x14ac:dyDescent="0.25">
      <c r="A3" s="3" t="s">
        <v>2</v>
      </c>
      <c r="B3" s="3"/>
      <c r="C3" s="3"/>
      <c r="D3" s="4" t="s">
        <v>3</v>
      </c>
      <c r="E3" s="4"/>
      <c r="F3" s="4"/>
    </row>
    <row r="4" ht="30" customHeight="1" spans="1:3" x14ac:dyDescent="0.25">
      <c r="A4" s="10" t="s">
        <v>20</v>
      </c>
      <c r="B4" s="10" t="s">
        <v>21</v>
      </c>
      <c r="C4" s="10" t="s">
        <v>22</v>
      </c>
    </row>
    <row r="5" ht="30" customHeight="1" spans="1:3" x14ac:dyDescent="0.25">
      <c r="A5" s="5" t="s">
        <v>23</v>
      </c>
      <c r="B5" s="11" t="s">
        <v>24</v>
      </c>
      <c r="C5" s="12" t="s">
        <v>25</v>
      </c>
    </row>
    <row r="6" ht="30" customHeight="1" spans="1:3" x14ac:dyDescent="0.25">
      <c r="A6" s="5" t="s">
        <v>26</v>
      </c>
      <c r="B6" s="11" t="s">
        <v>24</v>
      </c>
      <c r="C6" s="12" t="s">
        <v>27</v>
      </c>
    </row>
    <row r="7" ht="30" customHeight="1" spans="1:3" x14ac:dyDescent="0.25">
      <c r="A7" s="5" t="s">
        <v>28</v>
      </c>
      <c r="B7" s="11" t="s">
        <v>24</v>
      </c>
      <c r="C7" s="12" t="s">
        <v>29</v>
      </c>
    </row>
    <row r="8" ht="30" customHeight="1" spans="1:3" x14ac:dyDescent="0.25">
      <c r="A8" s="5" t="s">
        <v>30</v>
      </c>
      <c r="B8" s="11" t="s">
        <v>24</v>
      </c>
      <c r="C8" s="12" t="s">
        <v>31</v>
      </c>
    </row>
    <row r="9" ht="30" customHeight="1" spans="1:3" x14ac:dyDescent="0.25">
      <c r="A9" s="5" t="s">
        <v>32</v>
      </c>
      <c r="B9" s="11" t="s">
        <v>24</v>
      </c>
      <c r="C9" s="12" t="s">
        <v>33</v>
      </c>
    </row>
    <row r="10" ht="30" customHeight="1" spans="1:3" x14ac:dyDescent="0.25">
      <c r="A10" s="5" t="s">
        <v>34</v>
      </c>
      <c r="B10" s="11" t="s">
        <v>35</v>
      </c>
      <c r="C10" s="12" t="s">
        <v>36</v>
      </c>
    </row>
    <row r="12" spans="1:1" x14ac:dyDescent="0.25">
      <c r="A12" s="6" t="s">
        <v>37</v>
      </c>
    </row>
    <row r="13" ht="34" customHeight="1" spans="1:3" x14ac:dyDescent="0.25">
      <c r="A13" s="13">
        <f>"Declared basis — depreciation "&amp;IF('Methodology declaration'!$B$5="Yes","included","EXCLUDED")&amp;"; internal shop labour at a loaded rate "&amp;IF('Methodology declaration'!$B$6="Yes","included","EXCLUDED")&amp;"; allocated overhead "&amp;IF('Methodology declaration'!$B$7="Yes","included","excluded")&amp;"; accident damage "&amp;IF('Methodology declaration'!$B$8="Yes","excluded","included")&amp;"; PM consumables "&amp;IF('Methodology declaration'!$B$9="Yes","included","excluded")&amp;". Reported denominator: "&amp;'Methodology declaration'!$B$10&amp;"."</f>
      </c>
      <c r="B13" s="13"/>
      <c r="C13" s="13"/>
    </row>
    <row r="15" ht="44" customHeight="1" spans="1:3" x14ac:dyDescent="0.25">
      <c r="A15" s="12" t="s">
        <v>38</v>
      </c>
      <c r="B15" s="12"/>
      <c r="C15" s="12"/>
    </row>
  </sheetData>
  <mergeCells count="5">
    <mergeCell ref="A2:C2"/>
    <mergeCell ref="A3:C3"/>
    <mergeCell ref="D3:F3"/>
    <mergeCell ref="A13:C13"/>
    <mergeCell ref="A15:C15"/>
  </mergeCells>
  <dataValidations count="2">
    <dataValidation type="list" showErrorMessage="1" errorTitle="Pick one" error="Allowed answers: Miles,Hours" sqref="B10">
      <formula1>"Miles,Hours"</formula1>
    </dataValidation>
    <dataValidation type="list" showErrorMessage="1" errorTitle="Pick one" error="Allowed answers: Yes,No" sqref="B5:B9">
      <formula1>"Yes,No"</formula1>
    </dataValidation>
  </dataValidations>
  <pageMargins left="0.6" right="0.6" top="0.7" bottom="0.7" header="0.3" footer="0.3"/>
  <pageSetup orientation="portrait"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3"/>
  <sheetViews>
    <sheetView workbookViewId="0">
      <pane xSplit="1" ySplit="4" topLeftCell="B5" activePane="bottomRight" state="frozen"/>
      <selection pane="bottomRight"/>
    </sheetView>
  </sheetViews>
  <sheetFormatPr defaultRowHeight="15" outlineLevelRow="0" outlineLevelCol="0" x14ac:dyDescent="55"/>
  <cols>
    <col min="1" max="1" width="13" customWidth="1"/>
    <col min="2" max="2" width="12" customWidth="1"/>
    <col min="3" max="3" width="34" customWidth="1"/>
    <col min="4" max="4" width="13" customWidth="1"/>
    <col min="5" max="5" width="12" customWidth="1"/>
    <col min="6" max="6" width="10" customWidth="1"/>
    <col min="7" max="11" width="11" customWidth="1"/>
    <col min="12" max="12" width="10" customWidth="1"/>
    <col min="13" max="14" width="11" customWidth="1"/>
    <col min="15" max="16" width="10" customWidth="1"/>
    <col min="17" max="17" width="12" customWidth="1"/>
    <col min="18" max="18" width="11" customWidth="1"/>
    <col min="19" max="20" width="10" customWidth="1"/>
    <col min="21" max="21" width="12" customWidth="1"/>
    <col min="22" max="22" width="13" customWidth="1"/>
    <col min="23" max="23" width="12" customWidth="1"/>
    <col min="24" max="25" width="13" customWidth="1"/>
    <col min="26" max="27" width="12" customWidth="1"/>
    <col min="28" max="28" width="14" customWidth="1"/>
    <col min="29" max="31" width="11" customWidth="1"/>
    <col min="32" max="32" width="46" customWidth="1"/>
  </cols>
  <sheetData>
    <row r="1" ht="26" customHeight="1" spans="1:12" x14ac:dyDescent="0.25">
      <c r="A1" s="14">
        <f>"Declared basis — depreciation "&amp;IF('Methodology declaration'!$B$5="Yes","included","EXCLUDED")&amp;"; internal shop labour at a loaded rate "&amp;IF('Methodology declaration'!$B$6="Yes","included","EXCLUDED")&amp;"; allocated overhead "&amp;IF('Methodology declaration'!$B$7="Yes","included","excluded")&amp;"; accident damage "&amp;IF('Methodology declaration'!$B$8="Yes","excluded","included")&amp;"; PM consumables "&amp;IF('Methodology declaration'!$B$9="Yes","included","excluded")&amp;". Reported denominator: "&amp;'Methodology declaration'!$B$10&amp;"."</f>
      </c>
      <c r="B1" s="14"/>
      <c r="C1" s="14"/>
      <c r="D1" s="14"/>
      <c r="E1" s="14"/>
      <c r="F1" s="14"/>
      <c r="G1" s="14"/>
      <c r="H1" s="14"/>
      <c r="I1" s="14"/>
      <c r="J1" s="14"/>
      <c r="K1" s="14"/>
      <c r="L1" s="14"/>
    </row>
    <row r="2" spans="1:6" x14ac:dyDescent="0.25">
      <c r="A2" s="3" t="s">
        <v>2</v>
      </c>
      <c r="B2" s="3"/>
      <c r="C2" s="3"/>
      <c r="D2" s="4" t="s">
        <v>3</v>
      </c>
      <c r="E2" s="4"/>
      <c r="F2" s="4"/>
    </row>
    <row r="3" spans="1:32" x14ac:dyDescent="0.25">
      <c r="A3" s="15" t="s">
        <v>39</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row>
    <row r="4" ht="30" customHeight="1" spans="1:32" x14ac:dyDescent="0.25">
      <c r="A4" s="10" t="s">
        <v>40</v>
      </c>
      <c r="B4" s="10" t="s">
        <v>41</v>
      </c>
      <c r="C4" s="10" t="s">
        <v>42</v>
      </c>
      <c r="D4" s="10" t="s">
        <v>43</v>
      </c>
      <c r="E4" s="10" t="s">
        <v>44</v>
      </c>
      <c r="F4" s="10" t="s">
        <v>45</v>
      </c>
      <c r="G4" s="10" t="s">
        <v>46</v>
      </c>
      <c r="H4" s="10" t="s">
        <v>47</v>
      </c>
      <c r="I4" s="10" t="s">
        <v>48</v>
      </c>
      <c r="J4" s="10" t="s">
        <v>49</v>
      </c>
      <c r="K4" s="10" t="s">
        <v>50</v>
      </c>
      <c r="L4" s="10" t="s">
        <v>51</v>
      </c>
      <c r="M4" s="10" t="s">
        <v>52</v>
      </c>
      <c r="N4" s="10" t="s">
        <v>53</v>
      </c>
      <c r="O4" s="10" t="s">
        <v>54</v>
      </c>
      <c r="P4" s="10" t="s">
        <v>55</v>
      </c>
      <c r="Q4" s="10" t="s">
        <v>56</v>
      </c>
      <c r="R4" s="10" t="s">
        <v>57</v>
      </c>
      <c r="S4" s="10" t="s">
        <v>58</v>
      </c>
      <c r="T4" s="10" t="s">
        <v>59</v>
      </c>
      <c r="U4" s="10" t="s">
        <v>60</v>
      </c>
      <c r="V4" s="10" t="s">
        <v>61</v>
      </c>
      <c r="W4" s="10" t="s">
        <v>62</v>
      </c>
      <c r="X4" s="10" t="s">
        <v>63</v>
      </c>
      <c r="Y4" s="10" t="s">
        <v>64</v>
      </c>
      <c r="Z4" s="10" t="s">
        <v>65</v>
      </c>
      <c r="AA4" s="10" t="s">
        <v>66</v>
      </c>
      <c r="AB4" s="10" t="s">
        <v>67</v>
      </c>
      <c r="AC4" s="10" t="s">
        <v>68</v>
      </c>
      <c r="AD4" s="10" t="s">
        <v>69</v>
      </c>
      <c r="AE4" s="10" t="s">
        <v>70</v>
      </c>
      <c r="AF4" s="10" t="s">
        <v>71</v>
      </c>
    </row>
    <row r="5" spans="1:32" x14ac:dyDescent="0.25">
      <c r="A5" s="16" t="s">
        <v>72</v>
      </c>
      <c r="B5" s="16" t="s">
        <v>73</v>
      </c>
      <c r="C5" s="16" t="s">
        <v>74</v>
      </c>
      <c r="D5" s="17">
        <v>34000</v>
      </c>
      <c r="E5" s="17">
        <v>7000</v>
      </c>
      <c r="F5" s="16">
        <v>8</v>
      </c>
      <c r="G5" s="17">
        <v>900</v>
      </c>
      <c r="H5" s="17">
        <v>250</v>
      </c>
      <c r="I5" s="17">
        <v>0</v>
      </c>
      <c r="J5" s="17">
        <v>700</v>
      </c>
      <c r="K5" s="17">
        <v>1250</v>
      </c>
      <c r="L5" s="16">
        <v>6</v>
      </c>
      <c r="M5" s="18">
        <v>95</v>
      </c>
      <c r="N5" s="17">
        <v>300</v>
      </c>
      <c r="O5" s="17">
        <v>400</v>
      </c>
      <c r="P5" s="17">
        <v>300</v>
      </c>
      <c r="Q5" s="17">
        <v>120</v>
      </c>
      <c r="R5" s="17">
        <v>0</v>
      </c>
      <c r="S5" s="17">
        <v>9000</v>
      </c>
      <c r="T5" s="17">
        <v>0</v>
      </c>
      <c r="U5" s="19">
        <f>IFERROR((D5-E5)/MAX(F5,0),0)*IF('Methodology declaration'!$B$5="Yes",1,0)</f>
      </c>
      <c r="V5" s="19">
        <f>U5+G5+H5+I5+J5*IF('Methodology declaration'!$B$7="Yes",1,0)</f>
      </c>
      <c r="W5" s="19">
        <f>L5*M5*IF('Methodology declaration'!$B$6="Yes",1,0)</f>
      </c>
      <c r="X5" s="19">
        <f>K5+W5+N5+O5+P5+Q5*IF('Methodology declaration'!$B$9="Yes",1,0)+R5*IF('Methodology declaration'!$B$8="Yes",0,1)</f>
      </c>
      <c r="Y5" s="19">
        <f>V5+X5</f>
      </c>
      <c r="Z5" s="20">
        <f>IFERROR(Y5/S5,"")</f>
      </c>
      <c r="AA5" s="21">
        <f>IFERROR(Y5/T5,"")</f>
      </c>
      <c r="AB5" s="21">
        <f>IF('Methodology declaration'!$B$10="Hours",IFERROR(Y5/T5,""),IFERROR(Y5/S5,""))</f>
      </c>
      <c r="AC5" s="22">
        <f>IFERROR(V5/Y5,"")</f>
      </c>
      <c r="AD5" s="20">
        <f>IFERROR(X5/S5,"")</f>
      </c>
      <c r="AE5" s="21">
        <f>IFERROR(X5/T5,"")</f>
      </c>
      <c r="AF5" s="23">
        <f>IF(AC5="","",IF(AC5&gt;0.6,"High fixed share, low mileage — redeploy or dispose, not drive better",""))</f>
      </c>
    </row>
    <row r="6" spans="1:32" x14ac:dyDescent="0.25">
      <c r="A6" s="16" t="s">
        <v>75</v>
      </c>
      <c r="B6" s="16" t="s">
        <v>76</v>
      </c>
      <c r="C6" s="16" t="s">
        <v>77</v>
      </c>
      <c r="D6" s="17">
        <v>52000</v>
      </c>
      <c r="E6" s="17">
        <v>14000</v>
      </c>
      <c r="F6" s="16">
        <v>8</v>
      </c>
      <c r="G6" s="17">
        <v>1400</v>
      </c>
      <c r="H6" s="17">
        <v>350</v>
      </c>
      <c r="I6" s="17">
        <v>0</v>
      </c>
      <c r="J6" s="17">
        <v>900</v>
      </c>
      <c r="K6" s="17">
        <v>3100</v>
      </c>
      <c r="L6" s="16">
        <v>14</v>
      </c>
      <c r="M6" s="18">
        <v>95</v>
      </c>
      <c r="N6" s="17">
        <v>900</v>
      </c>
      <c r="O6" s="17">
        <v>800</v>
      </c>
      <c r="P6" s="17">
        <v>600</v>
      </c>
      <c r="Q6" s="17">
        <v>180</v>
      </c>
      <c r="R6" s="17">
        <v>0</v>
      </c>
      <c r="S6" s="17">
        <v>12000</v>
      </c>
      <c r="T6" s="17">
        <v>0</v>
      </c>
      <c r="U6" s="19">
        <f>IFERROR((D6-E6)/MAX(F6,0),0)*IF('Methodology declaration'!$B$5="Yes",1,0)</f>
      </c>
      <c r="V6" s="19">
        <f>U6+G6+H6+I6+J6*IF('Methodology declaration'!$B$7="Yes",1,0)</f>
      </c>
      <c r="W6" s="19">
        <f>L6*M6*IF('Methodology declaration'!$B$6="Yes",1,0)</f>
      </c>
      <c r="X6" s="19">
        <f>K6+W6+N6+O6+P6+Q6*IF('Methodology declaration'!$B$9="Yes",1,0)+R6*IF('Methodology declaration'!$B$8="Yes",0,1)</f>
      </c>
      <c r="Y6" s="19">
        <f>V6+X6</f>
      </c>
      <c r="Z6" s="20">
        <f>IFERROR(Y6/S6,"")</f>
      </c>
      <c r="AA6" s="21">
        <f>IFERROR(Y6/T6,"")</f>
      </c>
      <c r="AB6" s="21">
        <f>IF('Methodology declaration'!$B$10="Hours",IFERROR(Y6/T6,""),IFERROR(Y6/S6,""))</f>
      </c>
      <c r="AC6" s="22">
        <f>IFERROR(V6/Y6,"")</f>
      </c>
      <c r="AD6" s="20">
        <f>IFERROR(X6/S6,"")</f>
      </c>
      <c r="AE6" s="21">
        <f>IFERROR(X6/T6,"")</f>
      </c>
      <c r="AF6" s="23">
        <f>IF(AC6="","",IF(AC6&gt;0.6,"High fixed share, low mileage — redeploy or dispose, not drive better",""))</f>
      </c>
    </row>
    <row r="7" spans="1:32" x14ac:dyDescent="0.25">
      <c r="A7" s="16" t="s">
        <v>78</v>
      </c>
      <c r="B7" s="16" t="s">
        <v>76</v>
      </c>
      <c r="C7" s="16" t="s">
        <v>79</v>
      </c>
      <c r="D7" s="17">
        <v>52000</v>
      </c>
      <c r="E7" s="17">
        <v>14000</v>
      </c>
      <c r="F7" s="16">
        <v>8</v>
      </c>
      <c r="G7" s="17">
        <v>1400</v>
      </c>
      <c r="H7" s="17">
        <v>350</v>
      </c>
      <c r="I7" s="17">
        <v>0</v>
      </c>
      <c r="J7" s="17">
        <v>900</v>
      </c>
      <c r="K7" s="17">
        <v>800</v>
      </c>
      <c r="L7" s="16">
        <v>5</v>
      </c>
      <c r="M7" s="18">
        <v>95</v>
      </c>
      <c r="N7" s="17">
        <v>200</v>
      </c>
      <c r="O7" s="17">
        <v>250</v>
      </c>
      <c r="P7" s="17">
        <v>200</v>
      </c>
      <c r="Q7" s="17">
        <v>90</v>
      </c>
      <c r="R7" s="17">
        <v>0</v>
      </c>
      <c r="S7" s="17">
        <v>3100</v>
      </c>
      <c r="T7" s="17">
        <v>0</v>
      </c>
      <c r="U7" s="19">
        <f>IFERROR((D7-E7)/MAX(F7,0),0)*IF('Methodology declaration'!$B$5="Yes",1,0)</f>
      </c>
      <c r="V7" s="19">
        <f>U7+G7+H7+I7+J7*IF('Methodology declaration'!$B$7="Yes",1,0)</f>
      </c>
      <c r="W7" s="19">
        <f>L7*M7*IF('Methodology declaration'!$B$6="Yes",1,0)</f>
      </c>
      <c r="X7" s="19">
        <f>K7+W7+N7+O7+P7+Q7*IF('Methodology declaration'!$B$9="Yes",1,0)+R7*IF('Methodology declaration'!$B$8="Yes",0,1)</f>
      </c>
      <c r="Y7" s="19">
        <f>V7+X7</f>
      </c>
      <c r="Z7" s="20">
        <f>IFERROR(Y7/S7,"")</f>
      </c>
      <c r="AA7" s="21">
        <f>IFERROR(Y7/T7,"")</f>
      </c>
      <c r="AB7" s="21">
        <f>IF('Methodology declaration'!$B$10="Hours",IFERROR(Y7/T7,""),IFERROR(Y7/S7,""))</f>
      </c>
      <c r="AC7" s="22">
        <f>IFERROR(V7/Y7,"")</f>
      </c>
      <c r="AD7" s="20">
        <f>IFERROR(X7/S7,"")</f>
      </c>
      <c r="AE7" s="21">
        <f>IFERROR(X7/T7,"")</f>
      </c>
      <c r="AF7" s="23">
        <f>IF(AC7="","",IF(AC7&gt;0.6,"High fixed share, low mileage — redeploy or dispose, not drive better",""))</f>
      </c>
    </row>
    <row r="8" spans="1:32" x14ac:dyDescent="0.25">
      <c r="A8" s="16" t="s">
        <v>80</v>
      </c>
      <c r="B8" s="16" t="s">
        <v>81</v>
      </c>
      <c r="C8" s="16" t="s">
        <v>82</v>
      </c>
      <c r="D8" s="17">
        <v>215000</v>
      </c>
      <c r="E8" s="17">
        <v>30000</v>
      </c>
      <c r="F8" s="16">
        <v>12</v>
      </c>
      <c r="G8" s="17">
        <v>3200</v>
      </c>
      <c r="H8" s="17">
        <v>900</v>
      </c>
      <c r="I8" s="17">
        <v>0</v>
      </c>
      <c r="J8" s="17">
        <v>1800</v>
      </c>
      <c r="K8" s="17">
        <v>4550</v>
      </c>
      <c r="L8" s="16">
        <v>42</v>
      </c>
      <c r="M8" s="18">
        <v>95</v>
      </c>
      <c r="N8" s="17">
        <v>2600</v>
      </c>
      <c r="O8" s="17">
        <v>3400</v>
      </c>
      <c r="P8" s="17">
        <v>2600</v>
      </c>
      <c r="Q8" s="17">
        <v>400</v>
      </c>
      <c r="R8" s="17">
        <v>1800</v>
      </c>
      <c r="S8" s="17">
        <v>7000</v>
      </c>
      <c r="T8" s="17">
        <v>620</v>
      </c>
      <c r="U8" s="19">
        <f>IFERROR((D8-E8)/MAX(F8,0),0)*IF('Methodology declaration'!$B$5="Yes",1,0)</f>
      </c>
      <c r="V8" s="19">
        <f>U8+G8+H8+I8+J8*IF('Methodology declaration'!$B$7="Yes",1,0)</f>
      </c>
      <c r="W8" s="19">
        <f>L8*M8*IF('Methodology declaration'!$B$6="Yes",1,0)</f>
      </c>
      <c r="X8" s="19">
        <f>K8+W8+N8+O8+P8+Q8*IF('Methodology declaration'!$B$9="Yes",1,0)+R8*IF('Methodology declaration'!$B$8="Yes",0,1)</f>
      </c>
      <c r="Y8" s="19">
        <f>V8+X8</f>
      </c>
      <c r="Z8" s="20">
        <f>IFERROR(Y8/S8,"")</f>
      </c>
      <c r="AA8" s="21">
        <f>IFERROR(Y8/T8,"")</f>
      </c>
      <c r="AB8" s="21">
        <f>IF('Methodology declaration'!$B$10="Hours",IFERROR(Y8/T8,""),IFERROR(Y8/S8,""))</f>
      </c>
      <c r="AC8" s="22">
        <f>IFERROR(V8/Y8,"")</f>
      </c>
      <c r="AD8" s="20">
        <f>IFERROR(X8/S8,"")</f>
      </c>
      <c r="AE8" s="21">
        <f>IFERROR(X8/T8,"")</f>
      </c>
      <c r="AF8" s="23">
        <f>IF(AC8="","",IF(AC8&gt;0.6,"High fixed share, low mileage — redeploy or dispose, not drive better",""))</f>
      </c>
    </row>
    <row r="9" spans="1:32" x14ac:dyDescent="0.25">
      <c r="A9" s="16" t="s">
        <v>83</v>
      </c>
      <c r="B9" s="16" t="s">
        <v>84</v>
      </c>
      <c r="C9" s="16" t="s">
        <v>85</v>
      </c>
      <c r="D9" s="17">
        <v>340000</v>
      </c>
      <c r="E9" s="17">
        <v>35000</v>
      </c>
      <c r="F9" s="16">
        <v>10</v>
      </c>
      <c r="G9" s="17">
        <v>4800</v>
      </c>
      <c r="H9" s="17">
        <v>1200</v>
      </c>
      <c r="I9" s="17">
        <v>0</v>
      </c>
      <c r="J9" s="17">
        <v>2400</v>
      </c>
      <c r="K9" s="17">
        <v>18200</v>
      </c>
      <c r="L9" s="16">
        <v>130</v>
      </c>
      <c r="M9" s="18">
        <v>95</v>
      </c>
      <c r="N9" s="17">
        <v>6500</v>
      </c>
      <c r="O9" s="17">
        <v>9000</v>
      </c>
      <c r="P9" s="17">
        <v>5200</v>
      </c>
      <c r="Q9" s="17">
        <v>900</v>
      </c>
      <c r="R9" s="17">
        <v>0</v>
      </c>
      <c r="S9" s="17">
        <v>14000</v>
      </c>
      <c r="T9" s="17">
        <v>1850</v>
      </c>
      <c r="U9" s="19">
        <f>IFERROR((D9-E9)/MAX(F9,0),0)*IF('Methodology declaration'!$B$5="Yes",1,0)</f>
      </c>
      <c r="V9" s="19">
        <f>U9+G9+H9+I9+J9*IF('Methodology declaration'!$B$7="Yes",1,0)</f>
      </c>
      <c r="W9" s="19">
        <f>L9*M9*IF('Methodology declaration'!$B$6="Yes",1,0)</f>
      </c>
      <c r="X9" s="19">
        <f>K9+W9+N9+O9+P9+Q9*IF('Methodology declaration'!$B$9="Yes",1,0)+R9*IF('Methodology declaration'!$B$8="Yes",0,1)</f>
      </c>
      <c r="Y9" s="19">
        <f>V9+X9</f>
      </c>
      <c r="Z9" s="20">
        <f>IFERROR(Y9/S9,"")</f>
      </c>
      <c r="AA9" s="21">
        <f>IFERROR(Y9/T9,"")</f>
      </c>
      <c r="AB9" s="21">
        <f>IF('Methodology declaration'!$B$10="Hours",IFERROR(Y9/T9,""),IFERROR(Y9/S9,""))</f>
      </c>
      <c r="AC9" s="22">
        <f>IFERROR(V9/Y9,"")</f>
      </c>
      <c r="AD9" s="20">
        <f>IFERROR(X9/S9,"")</f>
      </c>
      <c r="AE9" s="21">
        <f>IFERROR(X9/T9,"")</f>
      </c>
      <c r="AF9" s="23">
        <f>IF(AC9="","",IF(AC9&gt;0.6,"High fixed share, low mileage — redeploy or dispose, not drive better",""))</f>
      </c>
    </row>
    <row r="10" spans="1:32" x14ac:dyDescent="0.25">
      <c r="A10" s="16" t="s">
        <v>86</v>
      </c>
      <c r="B10" s="16" t="s">
        <v>87</v>
      </c>
      <c r="C10" s="16" t="s">
        <v>88</v>
      </c>
      <c r="D10" s="17">
        <v>195000</v>
      </c>
      <c r="E10" s="17">
        <v>25000</v>
      </c>
      <c r="F10" s="16">
        <v>12</v>
      </c>
      <c r="G10" s="17">
        <v>2600</v>
      </c>
      <c r="H10" s="17">
        <v>700</v>
      </c>
      <c r="I10" s="17">
        <v>0</v>
      </c>
      <c r="J10" s="17">
        <v>1500</v>
      </c>
      <c r="K10" s="17">
        <v>3900</v>
      </c>
      <c r="L10" s="16">
        <v>36</v>
      </c>
      <c r="M10" s="18">
        <v>95</v>
      </c>
      <c r="N10" s="17">
        <v>2200</v>
      </c>
      <c r="O10" s="17">
        <v>2600</v>
      </c>
      <c r="P10" s="17">
        <v>1400</v>
      </c>
      <c r="Q10" s="17">
        <v>350</v>
      </c>
      <c r="R10" s="17">
        <v>0</v>
      </c>
      <c r="S10" s="17">
        <v>4200</v>
      </c>
      <c r="T10" s="17">
        <v>940</v>
      </c>
      <c r="U10" s="19">
        <f>IFERROR((D10-E10)/MAX(F10,0),0)*IF('Methodology declaration'!$B$5="Yes",1,0)</f>
      </c>
      <c r="V10" s="19">
        <f>U10+G10+H10+I10+J10*IF('Methodology declaration'!$B$7="Yes",1,0)</f>
      </c>
      <c r="W10" s="19">
        <f>L10*M10*IF('Methodology declaration'!$B$6="Yes",1,0)</f>
      </c>
      <c r="X10" s="19">
        <f>K10+W10+N10+O10+P10+Q10*IF('Methodology declaration'!$B$9="Yes",1,0)+R10*IF('Methodology declaration'!$B$8="Yes",0,1)</f>
      </c>
      <c r="Y10" s="19">
        <f>V10+X10</f>
      </c>
      <c r="Z10" s="20">
        <f>IFERROR(Y10/S10,"")</f>
      </c>
      <c r="AA10" s="21">
        <f>IFERROR(Y10/T10,"")</f>
      </c>
      <c r="AB10" s="21">
        <f>IF('Methodology declaration'!$B$10="Hours",IFERROR(Y10/T10,""),IFERROR(Y10/S10,""))</f>
      </c>
      <c r="AC10" s="22">
        <f>IFERROR(V10/Y10,"")</f>
      </c>
      <c r="AD10" s="20">
        <f>IFERROR(X10/S10,"")</f>
      </c>
      <c r="AE10" s="21">
        <f>IFERROR(X10/T10,"")</f>
      </c>
      <c r="AF10" s="23">
        <f>IF(AC10="","",IF(AC10&gt;0.6,"High fixed share, low mileage — redeploy or dispose, not drive better",""))</f>
      </c>
    </row>
    <row r="11" spans="1:32" x14ac:dyDescent="0.25">
      <c r="A11" s="16" t="s">
        <v>89</v>
      </c>
      <c r="B11" s="16" t="s">
        <v>90</v>
      </c>
      <c r="C11" s="16" t="s">
        <v>91</v>
      </c>
      <c r="D11" s="17">
        <v>265000</v>
      </c>
      <c r="E11" s="17">
        <v>28000</v>
      </c>
      <c r="F11" s="16">
        <v>10</v>
      </c>
      <c r="G11" s="17">
        <v>3000</v>
      </c>
      <c r="H11" s="17">
        <v>800</v>
      </c>
      <c r="I11" s="17">
        <v>0</v>
      </c>
      <c r="J11" s="17">
        <v>1600</v>
      </c>
      <c r="K11" s="17">
        <v>8600</v>
      </c>
      <c r="L11" s="16">
        <v>95</v>
      </c>
      <c r="M11" s="18">
        <v>95</v>
      </c>
      <c r="N11" s="17">
        <v>4100</v>
      </c>
      <c r="O11" s="17">
        <v>5200</v>
      </c>
      <c r="P11" s="17">
        <v>3000</v>
      </c>
      <c r="Q11" s="17">
        <v>600</v>
      </c>
      <c r="R11" s="17">
        <v>0</v>
      </c>
      <c r="S11" s="17">
        <v>5600</v>
      </c>
      <c r="T11" s="17">
        <v>1240</v>
      </c>
      <c r="U11" s="19">
        <f>IFERROR((D11-E11)/MAX(F11,0),0)*IF('Methodology declaration'!$B$5="Yes",1,0)</f>
      </c>
      <c r="V11" s="19">
        <f>U11+G11+H11+I11+J11*IF('Methodology declaration'!$B$7="Yes",1,0)</f>
      </c>
      <c r="W11" s="19">
        <f>L11*M11*IF('Methodology declaration'!$B$6="Yes",1,0)</f>
      </c>
      <c r="X11" s="19">
        <f>K11+W11+N11+O11+P11+Q11*IF('Methodology declaration'!$B$9="Yes",1,0)+R11*IF('Methodology declaration'!$B$8="Yes",0,1)</f>
      </c>
      <c r="Y11" s="19">
        <f>V11+X11</f>
      </c>
      <c r="Z11" s="20">
        <f>IFERROR(Y11/S11,"")</f>
      </c>
      <c r="AA11" s="21">
        <f>IFERROR(Y11/T11,"")</f>
      </c>
      <c r="AB11" s="21">
        <f>IF('Methodology declaration'!$B$10="Hours",IFERROR(Y11/T11,""),IFERROR(Y11/S11,""))</f>
      </c>
      <c r="AC11" s="22">
        <f>IFERROR(V11/Y11,"")</f>
      </c>
      <c r="AD11" s="20">
        <f>IFERROR(X11/S11,"")</f>
      </c>
      <c r="AE11" s="21">
        <f>IFERROR(X11/T11,"")</f>
      </c>
      <c r="AF11" s="23">
        <f>IF(AC11="","",IF(AC11&gt;0.6,"High fixed share, low mileage — redeploy or dispose, not drive better",""))</f>
      </c>
    </row>
    <row r="13" ht="30" customHeight="1" spans="1:10" x14ac:dyDescent="0.25">
      <c r="A13" s="24" t="s">
        <v>92</v>
      </c>
      <c r="B13" s="24"/>
      <c r="C13" s="24"/>
      <c r="D13" s="24"/>
      <c r="E13" s="24"/>
      <c r="F13" s="24"/>
      <c r="G13" s="24"/>
      <c r="H13" s="24"/>
      <c r="I13" s="24"/>
      <c r="J13" s="24"/>
    </row>
  </sheetData>
  <mergeCells count="5">
    <mergeCell ref="A1:L1"/>
    <mergeCell ref="A2:C2"/>
    <mergeCell ref="D2:F2"/>
    <mergeCell ref="A3:AF3"/>
    <mergeCell ref="A13:J13"/>
  </mergeCells>
  <conditionalFormatting sqref="AC5:AC11">
    <cfRule type="cellIs" dxfId="0" priority="1" operator="greaterThan">
      <formula>0.6</formula>
    </cfRule>
  </conditionalFormatting>
  <pageMargins left="0.4" right="0.4" top="0.5" bottom="0.5" header="0.3" footer="0.3"/>
  <pageSetup orientation="landscape" horizontalDpi="4294967295" verticalDpi="4294967295" scale="100"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workbookViewId="0">
      <pane xSplit="1" ySplit="4" topLeftCell="B5" activePane="bottomRight" state="frozen"/>
      <selection pane="bottomRight"/>
    </sheetView>
  </sheetViews>
  <sheetFormatPr defaultRowHeight="15" outlineLevelRow="0" outlineLevelCol="0" x14ac:dyDescent="55"/>
  <cols>
    <col min="1" max="1" width="14" customWidth="1"/>
    <col min="2" max="2" width="10" customWidth="1"/>
    <col min="3" max="3" width="14" customWidth="1"/>
    <col min="4" max="5" width="12" customWidth="1"/>
    <col min="6" max="7" width="13" customWidth="1"/>
  </cols>
  <sheetData>
    <row r="1" ht="26" customHeight="1" spans="1:7" x14ac:dyDescent="0.25">
      <c r="A1" s="14">
        <f>"Declared basis — depreciation "&amp;IF('Methodology declaration'!$B$5="Yes","included","EXCLUDED")&amp;"; internal shop labour at a loaded rate "&amp;IF('Methodology declaration'!$B$6="Yes","included","EXCLUDED")&amp;"; allocated overhead "&amp;IF('Methodology declaration'!$B$7="Yes","included","excluded")&amp;"; accident damage "&amp;IF('Methodology declaration'!$B$8="Yes","excluded","included")&amp;"; PM consumables "&amp;IF('Methodology declaration'!$B$9="Yes","included","excluded")&amp;". Reported denominator: "&amp;'Methodology declaration'!$B$10&amp;"."</f>
      </c>
      <c r="B1" s="14"/>
      <c r="C1" s="14"/>
      <c r="D1" s="14"/>
      <c r="E1" s="14"/>
      <c r="F1" s="14"/>
      <c r="G1" s="14"/>
    </row>
    <row r="2" spans="1:6" x14ac:dyDescent="0.25">
      <c r="A2" s="3" t="s">
        <v>2</v>
      </c>
      <c r="B2" s="3"/>
      <c r="C2" s="3"/>
      <c r="D2" s="4" t="s">
        <v>3</v>
      </c>
      <c r="E2" s="4"/>
      <c r="F2" s="4"/>
    </row>
    <row r="3" spans="1:7" x14ac:dyDescent="0.25">
      <c r="A3" s="15" t="s">
        <v>39</v>
      </c>
      <c r="B3" s="15"/>
      <c r="C3" s="15"/>
      <c r="D3" s="15"/>
      <c r="E3" s="15"/>
      <c r="F3" s="15"/>
      <c r="G3" s="15"/>
    </row>
    <row r="4" ht="30" customHeight="1" spans="1:7" x14ac:dyDescent="0.25">
      <c r="A4" s="10" t="s">
        <v>41</v>
      </c>
      <c r="B4" s="10" t="s">
        <v>93</v>
      </c>
      <c r="C4" s="10" t="s">
        <v>64</v>
      </c>
      <c r="D4" s="10" t="s">
        <v>94</v>
      </c>
      <c r="E4" s="10" t="s">
        <v>95</v>
      </c>
      <c r="F4" s="10" t="s">
        <v>96</v>
      </c>
      <c r="G4" s="10" t="s">
        <v>97</v>
      </c>
    </row>
    <row r="5" spans="1:7" x14ac:dyDescent="0.25">
      <c r="A5" s="25" t="s">
        <v>73</v>
      </c>
      <c r="B5" s="19">
        <f>COUNTIF(Units!$B$5:$B$405,$A5)</f>
      </c>
      <c r="C5" s="19">
        <f>SUMIFS(Units!$Y$5:$Y$405,Units!$B$5:$B$405,$A5)</f>
      </c>
      <c r="D5" s="19">
        <f>SUMIFS(Units!$S$5:$S$405,Units!$B$5:$B$405,$A5)</f>
      </c>
      <c r="E5" s="19">
        <f>SUMIFS(Units!$T$5:$T$405,Units!$B$5:$B$405,$A5)</f>
      </c>
      <c r="F5" s="20">
        <f>IFERROR(C5/D5,"")</f>
      </c>
      <c r="G5" s="21">
        <f>IFERROR(C5/E5,"")</f>
      </c>
    </row>
    <row r="6" spans="1:7" x14ac:dyDescent="0.25">
      <c r="A6" s="25" t="s">
        <v>76</v>
      </c>
      <c r="B6" s="19">
        <f>COUNTIF(Units!$B$5:$B$405,$A6)</f>
      </c>
      <c r="C6" s="19">
        <f>SUMIFS(Units!$Y$5:$Y$405,Units!$B$5:$B$405,$A6)</f>
      </c>
      <c r="D6" s="19">
        <f>SUMIFS(Units!$S$5:$S$405,Units!$B$5:$B$405,$A6)</f>
      </c>
      <c r="E6" s="19">
        <f>SUMIFS(Units!$T$5:$T$405,Units!$B$5:$B$405,$A6)</f>
      </c>
      <c r="F6" s="20">
        <f>IFERROR(C6/D6,"")</f>
      </c>
      <c r="G6" s="21">
        <f>IFERROR(C6/E6,"")</f>
      </c>
    </row>
    <row r="7" spans="1:7" x14ac:dyDescent="0.25">
      <c r="A7" s="25" t="s">
        <v>81</v>
      </c>
      <c r="B7" s="19">
        <f>COUNTIF(Units!$B$5:$B$405,$A7)</f>
      </c>
      <c r="C7" s="19">
        <f>SUMIFS(Units!$Y$5:$Y$405,Units!$B$5:$B$405,$A7)</f>
      </c>
      <c r="D7" s="19">
        <f>SUMIFS(Units!$S$5:$S$405,Units!$B$5:$B$405,$A7)</f>
      </c>
      <c r="E7" s="19">
        <f>SUMIFS(Units!$T$5:$T$405,Units!$B$5:$B$405,$A7)</f>
      </c>
      <c r="F7" s="20">
        <f>IFERROR(C7/D7,"")</f>
      </c>
      <c r="G7" s="21">
        <f>IFERROR(C7/E7,"")</f>
      </c>
    </row>
    <row r="8" spans="1:7" x14ac:dyDescent="0.25">
      <c r="A8" s="25" t="s">
        <v>84</v>
      </c>
      <c r="B8" s="19">
        <f>COUNTIF(Units!$B$5:$B$405,$A8)</f>
      </c>
      <c r="C8" s="19">
        <f>SUMIFS(Units!$Y$5:$Y$405,Units!$B$5:$B$405,$A8)</f>
      </c>
      <c r="D8" s="19">
        <f>SUMIFS(Units!$S$5:$S$405,Units!$B$5:$B$405,$A8)</f>
      </c>
      <c r="E8" s="19">
        <f>SUMIFS(Units!$T$5:$T$405,Units!$B$5:$B$405,$A8)</f>
      </c>
      <c r="F8" s="20">
        <f>IFERROR(C8/D8,"")</f>
      </c>
      <c r="G8" s="21">
        <f>IFERROR(C8/E8,"")</f>
      </c>
    </row>
    <row r="9" spans="1:7" x14ac:dyDescent="0.25">
      <c r="A9" s="25" t="s">
        <v>87</v>
      </c>
      <c r="B9" s="19">
        <f>COUNTIF(Units!$B$5:$B$405,$A9)</f>
      </c>
      <c r="C9" s="19">
        <f>SUMIFS(Units!$Y$5:$Y$405,Units!$B$5:$B$405,$A9)</f>
      </c>
      <c r="D9" s="19">
        <f>SUMIFS(Units!$S$5:$S$405,Units!$B$5:$B$405,$A9)</f>
      </c>
      <c r="E9" s="19">
        <f>SUMIFS(Units!$T$5:$T$405,Units!$B$5:$B$405,$A9)</f>
      </c>
      <c r="F9" s="20">
        <f>IFERROR(C9/D9,"")</f>
      </c>
      <c r="G9" s="21">
        <f>IFERROR(C9/E9,"")</f>
      </c>
    </row>
    <row r="10" spans="1:7" x14ac:dyDescent="0.25">
      <c r="A10" s="25" t="s">
        <v>90</v>
      </c>
      <c r="B10" s="19">
        <f>COUNTIF(Units!$B$5:$B$405,$A10)</f>
      </c>
      <c r="C10" s="19">
        <f>SUMIFS(Units!$Y$5:$Y$405,Units!$B$5:$B$405,$A10)</f>
      </c>
      <c r="D10" s="19">
        <f>SUMIFS(Units!$S$5:$S$405,Units!$B$5:$B$405,$A10)</f>
      </c>
      <c r="E10" s="19">
        <f>SUMIFS(Units!$T$5:$T$405,Units!$B$5:$B$405,$A10)</f>
      </c>
      <c r="F10" s="20">
        <f>IFERROR(C10/D10,"")</f>
      </c>
      <c r="G10" s="21">
        <f>IFERROR(C10/E10,"")</f>
      </c>
    </row>
    <row r="12" ht="44" customHeight="1" spans="1:7" x14ac:dyDescent="0.25">
      <c r="A12" s="24" t="s">
        <v>98</v>
      </c>
      <c r="B12" s="24"/>
      <c r="C12" s="24"/>
      <c r="D12" s="24"/>
      <c r="E12" s="24"/>
      <c r="F12" s="24"/>
      <c r="G12" s="24"/>
    </row>
    <row r="14" ht="30" customHeight="1" spans="1:7" x14ac:dyDescent="0.25">
      <c r="A14" s="24" t="s">
        <v>99</v>
      </c>
      <c r="B14" s="24"/>
      <c r="C14" s="24"/>
      <c r="D14" s="24"/>
      <c r="E14" s="24"/>
      <c r="F14" s="24"/>
      <c r="G14" s="24"/>
    </row>
  </sheetData>
  <mergeCells count="6">
    <mergeCell ref="A1:G1"/>
    <mergeCell ref="A2:C2"/>
    <mergeCell ref="D2:F2"/>
    <mergeCell ref="A3:G3"/>
    <mergeCell ref="A12:G12"/>
    <mergeCell ref="A14:G14"/>
  </mergeCells>
  <pageMargins left="0.5" right="0.5" top="0.6" bottom="0.6" header="0.3" footer="0.3"/>
  <pageSetup orientation="landscape" horizontalDpi="4294967295" verticalDpi="4294967295" scale="100"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pane xSplit="2" ySplit="4" topLeftCell="C5" activePane="bottomRight" state="frozen"/>
      <selection pane="bottomRight"/>
    </sheetView>
  </sheetViews>
  <sheetFormatPr defaultRowHeight="15" outlineLevelRow="0" outlineLevelCol="0" x14ac:dyDescent="55"/>
  <cols>
    <col min="1" max="1" width="13" customWidth="1"/>
    <col min="2" max="2" width="22" customWidth="1"/>
    <col min="3" max="14" width="11" customWidth="1"/>
    <col min="15" max="15" width="13" customWidth="1"/>
    <col min="16" max="16" width="11" customWidth="1"/>
  </cols>
  <sheetData>
    <row r="1" ht="26" customHeight="1" spans="1:12" x14ac:dyDescent="0.25">
      <c r="A1" s="14">
        <f>"Declared basis — depreciation "&amp;IF('Methodology declaration'!$B$5="Yes","included","EXCLUDED")&amp;"; internal shop labour at a loaded rate "&amp;IF('Methodology declaration'!$B$6="Yes","included","EXCLUDED")&amp;"; allocated overhead "&amp;IF('Methodology declaration'!$B$7="Yes","included","excluded")&amp;"; accident damage "&amp;IF('Methodology declaration'!$B$8="Yes","excluded","included")&amp;"; PM consumables "&amp;IF('Methodology declaration'!$B$9="Yes","included","excluded")&amp;". Reported denominator: "&amp;'Methodology declaration'!$B$10&amp;"."</f>
      </c>
      <c r="B1" s="14"/>
      <c r="C1" s="14"/>
      <c r="D1" s="14"/>
      <c r="E1" s="14"/>
      <c r="F1" s="14"/>
      <c r="G1" s="14"/>
      <c r="H1" s="14"/>
      <c r="I1" s="14"/>
      <c r="J1" s="14"/>
      <c r="K1" s="14"/>
      <c r="L1" s="14"/>
    </row>
    <row r="2" spans="1:6" x14ac:dyDescent="0.25">
      <c r="A2" s="3" t="s">
        <v>2</v>
      </c>
      <c r="B2" s="3"/>
      <c r="C2" s="3"/>
      <c r="D2" s="4" t="s">
        <v>3</v>
      </c>
      <c r="E2" s="4"/>
      <c r="F2" s="4"/>
    </row>
    <row r="3" spans="1:16" x14ac:dyDescent="0.25">
      <c r="A3" s="15" t="s">
        <v>39</v>
      </c>
      <c r="B3" s="15"/>
      <c r="C3" s="15"/>
      <c r="D3" s="15"/>
      <c r="E3" s="15"/>
      <c r="F3" s="15"/>
      <c r="G3" s="15"/>
      <c r="H3" s="15"/>
      <c r="I3" s="15"/>
      <c r="J3" s="15"/>
      <c r="K3" s="15"/>
      <c r="L3" s="15"/>
      <c r="M3" s="15"/>
      <c r="N3" s="15"/>
      <c r="O3" s="15"/>
      <c r="P3" s="15"/>
    </row>
    <row r="4" ht="30" customHeight="1" spans="1:16" x14ac:dyDescent="0.25">
      <c r="A4" s="10" t="s">
        <v>40</v>
      </c>
      <c r="B4" s="10" t="s">
        <v>100</v>
      </c>
      <c r="C4" s="10" t="s">
        <v>101</v>
      </c>
      <c r="D4" s="10" t="s">
        <v>102</v>
      </c>
      <c r="E4" s="10" t="s">
        <v>103</v>
      </c>
      <c r="F4" s="10" t="s">
        <v>104</v>
      </c>
      <c r="G4" s="10" t="s">
        <v>105</v>
      </c>
      <c r="H4" s="10" t="s">
        <v>106</v>
      </c>
      <c r="I4" s="10" t="s">
        <v>107</v>
      </c>
      <c r="J4" s="10" t="s">
        <v>108</v>
      </c>
      <c r="K4" s="10" t="s">
        <v>109</v>
      </c>
      <c r="L4" s="10" t="s">
        <v>110</v>
      </c>
      <c r="M4" s="10" t="s">
        <v>111</v>
      </c>
      <c r="N4" s="10" t="s">
        <v>112</v>
      </c>
      <c r="O4" s="10" t="s">
        <v>113</v>
      </c>
      <c r="P4" s="10" t="s">
        <v>114</v>
      </c>
    </row>
    <row r="5" spans="1:14" x14ac:dyDescent="0.25">
      <c r="A5" s="6" t="s">
        <v>72</v>
      </c>
      <c r="B5" s="26" t="s">
        <v>115</v>
      </c>
      <c r="C5" s="18">
        <v>857.3249999999999</v>
      </c>
      <c r="D5" s="18">
        <v>800.1700000000001</v>
      </c>
      <c r="E5" s="18">
        <v>734.85</v>
      </c>
      <c r="F5" s="18">
        <v>636.87</v>
      </c>
      <c r="G5" s="18">
        <v>587.88</v>
      </c>
      <c r="H5" s="18">
        <v>571.5500000000001</v>
      </c>
      <c r="I5" s="18">
        <v>555.22</v>
      </c>
      <c r="J5" s="18">
        <v>555.22</v>
      </c>
      <c r="K5" s="18">
        <v>596.045</v>
      </c>
      <c r="L5" s="18">
        <v>653.2</v>
      </c>
      <c r="M5" s="18">
        <v>759.345</v>
      </c>
      <c r="N5" s="18">
        <v>857.3249999999999</v>
      </c>
    </row>
    <row r="6" spans="2:14" x14ac:dyDescent="0.25">
      <c r="B6" s="3" t="s">
        <v>35</v>
      </c>
      <c r="C6" s="18">
        <v>675</v>
      </c>
      <c r="D6" s="18">
        <v>684</v>
      </c>
      <c r="E6" s="18">
        <v>738</v>
      </c>
      <c r="F6" s="18">
        <v>792</v>
      </c>
      <c r="G6" s="18">
        <v>828</v>
      </c>
      <c r="H6" s="18">
        <v>837</v>
      </c>
      <c r="I6" s="18">
        <v>837</v>
      </c>
      <c r="J6" s="18">
        <v>828</v>
      </c>
      <c r="K6" s="18">
        <v>792</v>
      </c>
      <c r="L6" s="18">
        <v>738</v>
      </c>
      <c r="M6" s="18">
        <v>693</v>
      </c>
      <c r="N6" s="18">
        <v>558</v>
      </c>
    </row>
    <row r="7" spans="2:16" x14ac:dyDescent="0.25">
      <c r="B7" s="27">
        <f>"Cost per "&amp;IF(B6="Engine hours","hour ($/hr)","mile ($/mi)")</f>
      </c>
      <c r="C7" s="20">
        <f>IFERROR(C5/C6,"")</f>
      </c>
      <c r="D7" s="20">
        <f>IFERROR(D5/D6,"")</f>
      </c>
      <c r="E7" s="20">
        <f>IFERROR(E5/E6,"")</f>
      </c>
      <c r="F7" s="20">
        <f>IFERROR(F5/F6,"")</f>
      </c>
      <c r="G7" s="20">
        <f>IFERROR(G5/G6,"")</f>
      </c>
      <c r="H7" s="20">
        <f>IFERROR(H5/H6,"")</f>
      </c>
      <c r="I7" s="20">
        <f>IFERROR(I5/I6,"")</f>
      </c>
      <c r="J7" s="20">
        <f>IFERROR(J5/J6,"")</f>
      </c>
      <c r="K7" s="20">
        <f>IFERROR(K5/K6,"")</f>
      </c>
      <c r="L7" s="20">
        <f>IFERROR(L5/L6,"")</f>
      </c>
      <c r="M7" s="20">
        <f>IFERROR(M5/M6,"")</f>
      </c>
      <c r="N7" s="20">
        <f>IFERROR(N5/N6,"")</f>
      </c>
      <c r="O7" s="20">
        <f>IFERROR(N7-C7,"")</f>
      </c>
      <c r="P7" s="22">
        <f>IFERROR((N7-C7)/C7,"")</f>
      </c>
    </row>
    <row r="8" spans="1:14" x14ac:dyDescent="0.25">
      <c r="A8" s="6" t="s">
        <v>75</v>
      </c>
      <c r="B8" s="26" t="s">
        <v>115</v>
      </c>
      <c r="C8" s="18">
        <v>1502.55</v>
      </c>
      <c r="D8" s="18">
        <v>1402.38</v>
      </c>
      <c r="E8" s="18">
        <v>1287.8999999999999</v>
      </c>
      <c r="F8" s="18">
        <v>1116.18</v>
      </c>
      <c r="G8" s="18">
        <v>1030.32</v>
      </c>
      <c r="H8" s="18">
        <v>1001.7</v>
      </c>
      <c r="I8" s="18">
        <v>973.08</v>
      </c>
      <c r="J8" s="18">
        <v>973.08</v>
      </c>
      <c r="K8" s="18">
        <v>1044.6299999999999</v>
      </c>
      <c r="L8" s="18">
        <v>1144.8</v>
      </c>
      <c r="M8" s="18">
        <v>1330.83</v>
      </c>
      <c r="N8" s="18">
        <v>1502.55</v>
      </c>
    </row>
    <row r="9" spans="2:14" x14ac:dyDescent="0.25">
      <c r="B9" s="3" t="s">
        <v>35</v>
      </c>
      <c r="C9" s="18">
        <v>900</v>
      </c>
      <c r="D9" s="18">
        <v>912</v>
      </c>
      <c r="E9" s="18">
        <v>984</v>
      </c>
      <c r="F9" s="18">
        <v>1056</v>
      </c>
      <c r="G9" s="18">
        <v>1104</v>
      </c>
      <c r="H9" s="18">
        <v>1116</v>
      </c>
      <c r="I9" s="18">
        <v>1116</v>
      </c>
      <c r="J9" s="18">
        <v>1104</v>
      </c>
      <c r="K9" s="18">
        <v>1056</v>
      </c>
      <c r="L9" s="18">
        <v>984</v>
      </c>
      <c r="M9" s="18">
        <v>924</v>
      </c>
      <c r="N9" s="18">
        <v>744</v>
      </c>
    </row>
    <row r="10" spans="2:16" x14ac:dyDescent="0.25">
      <c r="B10" s="27">
        <f>"Cost per "&amp;IF(B9="Engine hours","hour ($/hr)","mile ($/mi)")</f>
      </c>
      <c r="C10" s="20">
        <f>IFERROR(C8/C9,"")</f>
      </c>
      <c r="D10" s="20">
        <f>IFERROR(D8/D9,"")</f>
      </c>
      <c r="E10" s="20">
        <f>IFERROR(E8/E9,"")</f>
      </c>
      <c r="F10" s="20">
        <f>IFERROR(F8/F9,"")</f>
      </c>
      <c r="G10" s="20">
        <f>IFERROR(G8/G9,"")</f>
      </c>
      <c r="H10" s="20">
        <f>IFERROR(H8/H9,"")</f>
      </c>
      <c r="I10" s="20">
        <f>IFERROR(I8/I9,"")</f>
      </c>
      <c r="J10" s="20">
        <f>IFERROR(J8/J9,"")</f>
      </c>
      <c r="K10" s="20">
        <f>IFERROR(K8/K9,"")</f>
      </c>
      <c r="L10" s="20">
        <f>IFERROR(L8/L9,"")</f>
      </c>
      <c r="M10" s="20">
        <f>IFERROR(M8/M9,"")</f>
      </c>
      <c r="N10" s="20">
        <f>IFERROR(N8/N9,"")</f>
      </c>
      <c r="O10" s="20">
        <f>IFERROR(N10-C10,"")</f>
      </c>
      <c r="P10" s="22">
        <f>IFERROR((N10-C10)/C10,"")</f>
      </c>
    </row>
    <row r="11" spans="1:14" x14ac:dyDescent="0.25">
      <c r="A11" s="6" t="s">
        <v>78</v>
      </c>
      <c r="B11" s="26" t="s">
        <v>115</v>
      </c>
      <c r="C11" s="18">
        <v>988.5749999999999</v>
      </c>
      <c r="D11" s="18">
        <v>922.6700000000001</v>
      </c>
      <c r="E11" s="18">
        <v>847.35</v>
      </c>
      <c r="F11" s="18">
        <v>734.37</v>
      </c>
      <c r="G11" s="18">
        <v>677.88</v>
      </c>
      <c r="H11" s="18">
        <v>659.0500000000001</v>
      </c>
      <c r="I11" s="18">
        <v>640.22</v>
      </c>
      <c r="J11" s="18">
        <v>640.22</v>
      </c>
      <c r="K11" s="18">
        <v>687.295</v>
      </c>
      <c r="L11" s="18">
        <v>753.2</v>
      </c>
      <c r="M11" s="18">
        <v>875.595</v>
      </c>
      <c r="N11" s="18">
        <v>988.5749999999999</v>
      </c>
    </row>
    <row r="12" spans="2:14" x14ac:dyDescent="0.25">
      <c r="B12" s="3" t="s">
        <v>35</v>
      </c>
      <c r="C12" s="18">
        <v>232.5</v>
      </c>
      <c r="D12" s="18">
        <v>235.6</v>
      </c>
      <c r="E12" s="18">
        <v>254.20000000000002</v>
      </c>
      <c r="F12" s="18">
        <v>272.8</v>
      </c>
      <c r="G12" s="18">
        <v>285.2</v>
      </c>
      <c r="H12" s="18">
        <v>288.3</v>
      </c>
      <c r="I12" s="18">
        <v>288.3</v>
      </c>
      <c r="J12" s="18">
        <v>285.2</v>
      </c>
      <c r="K12" s="18">
        <v>272.8</v>
      </c>
      <c r="L12" s="18">
        <v>254.20000000000002</v>
      </c>
      <c r="M12" s="18">
        <v>238.7</v>
      </c>
      <c r="N12" s="18">
        <v>192.2</v>
      </c>
    </row>
    <row r="13" spans="2:16" x14ac:dyDescent="0.25">
      <c r="B13" s="27">
        <f>"Cost per "&amp;IF(B12="Engine hours","hour ($/hr)","mile ($/mi)")</f>
      </c>
      <c r="C13" s="20">
        <f>IFERROR(C11/C12,"")</f>
      </c>
      <c r="D13" s="20">
        <f>IFERROR(D11/D12,"")</f>
      </c>
      <c r="E13" s="20">
        <f>IFERROR(E11/E12,"")</f>
      </c>
      <c r="F13" s="20">
        <f>IFERROR(F11/F12,"")</f>
      </c>
      <c r="G13" s="20">
        <f>IFERROR(G11/G12,"")</f>
      </c>
      <c r="H13" s="20">
        <f>IFERROR(H11/H12,"")</f>
      </c>
      <c r="I13" s="20">
        <f>IFERROR(I11/I12,"")</f>
      </c>
      <c r="J13" s="20">
        <f>IFERROR(J11/J12,"")</f>
      </c>
      <c r="K13" s="20">
        <f>IFERROR(K11/K12,"")</f>
      </c>
      <c r="L13" s="20">
        <f>IFERROR(L11/L12,"")</f>
      </c>
      <c r="M13" s="20">
        <f>IFERROR(M11/M12,"")</f>
      </c>
      <c r="N13" s="20">
        <f>IFERROR(N11/N12,"")</f>
      </c>
      <c r="O13" s="20">
        <f>IFERROR(N13-C13,"")</f>
      </c>
      <c r="P13" s="22">
        <f>IFERROR((N13-C13)/C13,"")</f>
      </c>
    </row>
    <row r="14" spans="1:14" x14ac:dyDescent="0.25">
      <c r="A14" s="6" t="s">
        <v>80</v>
      </c>
      <c r="B14" s="26" t="s">
        <v>115</v>
      </c>
      <c r="C14" s="18">
        <v>4079.95</v>
      </c>
      <c r="D14" s="18">
        <v>3807.9533333333334</v>
      </c>
      <c r="E14" s="18">
        <v>3497.0999999999995</v>
      </c>
      <c r="F14" s="18">
        <v>3030.8199999999997</v>
      </c>
      <c r="G14" s="18">
        <v>2797.68</v>
      </c>
      <c r="H14" s="18">
        <v>2719.9666666666667</v>
      </c>
      <c r="I14" s="18">
        <v>2642.2533333333336</v>
      </c>
      <c r="J14" s="18">
        <v>2642.2533333333336</v>
      </c>
      <c r="K14" s="18">
        <v>2836.5366666666664</v>
      </c>
      <c r="L14" s="18">
        <v>3108.5333333333333</v>
      </c>
      <c r="M14" s="18">
        <v>3613.6699999999996</v>
      </c>
      <c r="N14" s="18">
        <v>4079.95</v>
      </c>
    </row>
    <row r="15" spans="2:14" x14ac:dyDescent="0.25">
      <c r="B15" s="3" t="s">
        <v>35</v>
      </c>
      <c r="C15" s="18">
        <v>525</v>
      </c>
      <c r="D15" s="18">
        <v>532</v>
      </c>
      <c r="E15" s="18">
        <v>574</v>
      </c>
      <c r="F15" s="18">
        <v>616</v>
      </c>
      <c r="G15" s="18">
        <v>644</v>
      </c>
      <c r="H15" s="18">
        <v>651</v>
      </c>
      <c r="I15" s="18">
        <v>651</v>
      </c>
      <c r="J15" s="18">
        <v>644</v>
      </c>
      <c r="K15" s="18">
        <v>616</v>
      </c>
      <c r="L15" s="18">
        <v>574</v>
      </c>
      <c r="M15" s="18">
        <v>539</v>
      </c>
      <c r="N15" s="18">
        <v>434</v>
      </c>
    </row>
    <row r="16" spans="2:16" x14ac:dyDescent="0.25">
      <c r="B16" s="27">
        <f>"Cost per "&amp;IF(B15="Engine hours","hour ($/hr)","mile ($/mi)")</f>
      </c>
      <c r="C16" s="20">
        <f>IFERROR(C14/C15,"")</f>
      </c>
      <c r="D16" s="20">
        <f>IFERROR(D14/D15,"")</f>
      </c>
      <c r="E16" s="20">
        <f>IFERROR(E14/E15,"")</f>
      </c>
      <c r="F16" s="20">
        <f>IFERROR(F14/F15,"")</f>
      </c>
      <c r="G16" s="20">
        <f>IFERROR(G14/G15,"")</f>
      </c>
      <c r="H16" s="20">
        <f>IFERROR(H14/H15,"")</f>
      </c>
      <c r="I16" s="20">
        <f>IFERROR(I14/I15,"")</f>
      </c>
      <c r="J16" s="20">
        <f>IFERROR(J14/J15,"")</f>
      </c>
      <c r="K16" s="20">
        <f>IFERROR(K14/K15,"")</f>
      </c>
      <c r="L16" s="20">
        <f>IFERROR(L14/L15,"")</f>
      </c>
      <c r="M16" s="20">
        <f>IFERROR(M14/M15,"")</f>
      </c>
      <c r="N16" s="20">
        <f>IFERROR(N14/N15,"")</f>
      </c>
      <c r="O16" s="20">
        <f>IFERROR(N16-C16,"")</f>
      </c>
      <c r="P16" s="22">
        <f>IFERROR((N16-C16)/C16,"")</f>
      </c>
    </row>
    <row r="17" spans="1:14" x14ac:dyDescent="0.25">
      <c r="A17" s="6" t="s">
        <v>83</v>
      </c>
      <c r="B17" s="26" t="s">
        <v>115</v>
      </c>
      <c r="C17" s="18">
        <v>9560.25</v>
      </c>
      <c r="D17" s="18">
        <v>8922.9</v>
      </c>
      <c r="E17" s="18">
        <v>8194.5</v>
      </c>
      <c r="F17" s="18">
        <v>7101.9</v>
      </c>
      <c r="G17" s="18">
        <v>6555.599999999999</v>
      </c>
      <c r="H17" s="18">
        <v>6373.500000000001</v>
      </c>
      <c r="I17" s="18">
        <v>6191.400000000001</v>
      </c>
      <c r="J17" s="18">
        <v>6191.400000000001</v>
      </c>
      <c r="K17" s="18">
        <v>6646.65</v>
      </c>
      <c r="L17" s="18">
        <v>7284</v>
      </c>
      <c r="M17" s="18">
        <v>8467.65</v>
      </c>
      <c r="N17" s="18">
        <v>9560.25</v>
      </c>
    </row>
    <row r="18" spans="2:14" x14ac:dyDescent="0.25">
      <c r="B18" s="3" t="s">
        <v>35</v>
      </c>
      <c r="C18" s="18">
        <v>1050</v>
      </c>
      <c r="D18" s="18">
        <v>1064</v>
      </c>
      <c r="E18" s="18">
        <v>1148</v>
      </c>
      <c r="F18" s="18">
        <v>1232</v>
      </c>
      <c r="G18" s="18">
        <v>1288</v>
      </c>
      <c r="H18" s="18">
        <v>1302</v>
      </c>
      <c r="I18" s="18">
        <v>1302</v>
      </c>
      <c r="J18" s="18">
        <v>1288</v>
      </c>
      <c r="K18" s="18">
        <v>1232</v>
      </c>
      <c r="L18" s="18">
        <v>1148</v>
      </c>
      <c r="M18" s="18">
        <v>1078</v>
      </c>
      <c r="N18" s="18">
        <v>868</v>
      </c>
    </row>
    <row r="19" spans="2:16" x14ac:dyDescent="0.25">
      <c r="B19" s="27">
        <f>"Cost per "&amp;IF(B18="Engine hours","hour ($/hr)","mile ($/mi)")</f>
      </c>
      <c r="C19" s="20">
        <f>IFERROR(C17/C18,"")</f>
      </c>
      <c r="D19" s="20">
        <f>IFERROR(D17/D18,"")</f>
      </c>
      <c r="E19" s="20">
        <f>IFERROR(E17/E18,"")</f>
      </c>
      <c r="F19" s="20">
        <f>IFERROR(F17/F18,"")</f>
      </c>
      <c r="G19" s="20">
        <f>IFERROR(G17/G18,"")</f>
      </c>
      <c r="H19" s="20">
        <f>IFERROR(H17/H18,"")</f>
      </c>
      <c r="I19" s="20">
        <f>IFERROR(I17/I18,"")</f>
      </c>
      <c r="J19" s="20">
        <f>IFERROR(J17/J18,"")</f>
      </c>
      <c r="K19" s="20">
        <f>IFERROR(K17/K18,"")</f>
      </c>
      <c r="L19" s="20">
        <f>IFERROR(L17/L18,"")</f>
      </c>
      <c r="M19" s="20">
        <f>IFERROR(M17/M18,"")</f>
      </c>
      <c r="N19" s="20">
        <f>IFERROR(N17/N18,"")</f>
      </c>
      <c r="O19" s="20">
        <f>IFERROR(N19-C19,"")</f>
      </c>
      <c r="P19" s="22">
        <f>IFERROR((N19-C19)/C19,"")</f>
      </c>
    </row>
    <row r="20" spans="1:14" x14ac:dyDescent="0.25">
      <c r="A20" s="6" t="s">
        <v>86</v>
      </c>
      <c r="B20" s="26" t="s">
        <v>115</v>
      </c>
      <c r="C20" s="18">
        <v>3447.8499999999995</v>
      </c>
      <c r="D20" s="18">
        <v>3217.9933333333333</v>
      </c>
      <c r="E20" s="18">
        <v>2955.2999999999997</v>
      </c>
      <c r="F20" s="18">
        <v>2561.2599999999998</v>
      </c>
      <c r="G20" s="18">
        <v>2364.24</v>
      </c>
      <c r="H20" s="18">
        <v>2298.5666666666666</v>
      </c>
      <c r="I20" s="18">
        <v>2232.8933333333334</v>
      </c>
      <c r="J20" s="18">
        <v>2232.8933333333334</v>
      </c>
      <c r="K20" s="18">
        <v>2397.0766666666664</v>
      </c>
      <c r="L20" s="18">
        <v>2626.9333333333334</v>
      </c>
      <c r="M20" s="18">
        <v>3053.81</v>
      </c>
      <c r="N20" s="18">
        <v>3447.8499999999995</v>
      </c>
    </row>
    <row r="21" spans="2:14" x14ac:dyDescent="0.25">
      <c r="B21" s="3" t="s">
        <v>116</v>
      </c>
      <c r="C21" s="18">
        <v>70.5</v>
      </c>
      <c r="D21" s="18">
        <v>71.44</v>
      </c>
      <c r="E21" s="18">
        <v>77.08</v>
      </c>
      <c r="F21" s="18">
        <v>82.72</v>
      </c>
      <c r="G21" s="18">
        <v>86.48</v>
      </c>
      <c r="H21" s="18">
        <v>87.42</v>
      </c>
      <c r="I21" s="18">
        <v>87.42</v>
      </c>
      <c r="J21" s="18">
        <v>86.48</v>
      </c>
      <c r="K21" s="18">
        <v>82.72</v>
      </c>
      <c r="L21" s="18">
        <v>77.08</v>
      </c>
      <c r="M21" s="18">
        <v>72.38</v>
      </c>
      <c r="N21" s="18">
        <v>58.28</v>
      </c>
    </row>
    <row r="22" spans="2:16" x14ac:dyDescent="0.25">
      <c r="B22" s="27">
        <f>"Cost per "&amp;IF(B21="Engine hours","hour ($/hr)","mile ($/mi)")</f>
      </c>
      <c r="C22" s="21">
        <f>IFERROR(C20/C21,"")</f>
      </c>
      <c r="D22" s="21">
        <f>IFERROR(D20/D21,"")</f>
      </c>
      <c r="E22" s="21">
        <f>IFERROR(E20/E21,"")</f>
      </c>
      <c r="F22" s="21">
        <f>IFERROR(F20/F21,"")</f>
      </c>
      <c r="G22" s="21">
        <f>IFERROR(G20/G21,"")</f>
      </c>
      <c r="H22" s="21">
        <f>IFERROR(H20/H21,"")</f>
      </c>
      <c r="I22" s="21">
        <f>IFERROR(I20/I21,"")</f>
      </c>
      <c r="J22" s="21">
        <f>IFERROR(J20/J21,"")</f>
      </c>
      <c r="K22" s="21">
        <f>IFERROR(K20/K21,"")</f>
      </c>
      <c r="L22" s="21">
        <f>IFERROR(L20/L21,"")</f>
      </c>
      <c r="M22" s="21">
        <f>IFERROR(M20/M21,"")</f>
      </c>
      <c r="N22" s="21">
        <f>IFERROR(N20/N21,"")</f>
      </c>
      <c r="O22" s="21">
        <f>IFERROR(N22-C22,"")</f>
      </c>
      <c r="P22" s="22">
        <f>IFERROR((N22-C22)/C22,"")</f>
      </c>
    </row>
    <row r="23" spans="1:14" x14ac:dyDescent="0.25">
      <c r="A23" s="6" t="s">
        <v>89</v>
      </c>
      <c r="B23" s="26" t="s">
        <v>115</v>
      </c>
      <c r="C23" s="18">
        <v>6260.625</v>
      </c>
      <c r="D23" s="18">
        <v>5843.25</v>
      </c>
      <c r="E23" s="18">
        <v>5366.25</v>
      </c>
      <c r="F23" s="18">
        <v>4650.75</v>
      </c>
      <c r="G23" s="18">
        <v>4293</v>
      </c>
      <c r="H23" s="18">
        <v>4173.75</v>
      </c>
      <c r="I23" s="18">
        <v>4054.5000000000005</v>
      </c>
      <c r="J23" s="18">
        <v>4054.5000000000005</v>
      </c>
      <c r="K23" s="18">
        <v>4352.625</v>
      </c>
      <c r="L23" s="18">
        <v>4770</v>
      </c>
      <c r="M23" s="18">
        <v>5545.125</v>
      </c>
      <c r="N23" s="18">
        <v>6260.625</v>
      </c>
    </row>
    <row r="24" spans="2:14" x14ac:dyDescent="0.25">
      <c r="B24" s="3" t="s">
        <v>116</v>
      </c>
      <c r="C24" s="18">
        <v>93</v>
      </c>
      <c r="D24" s="18">
        <v>94.24</v>
      </c>
      <c r="E24" s="18">
        <v>101.68</v>
      </c>
      <c r="F24" s="18">
        <v>109.11999999999999</v>
      </c>
      <c r="G24" s="18">
        <v>114.08</v>
      </c>
      <c r="H24" s="18">
        <v>115.32</v>
      </c>
      <c r="I24" s="18">
        <v>115.32</v>
      </c>
      <c r="J24" s="18">
        <v>114.08</v>
      </c>
      <c r="K24" s="18">
        <v>109.11999999999999</v>
      </c>
      <c r="L24" s="18">
        <v>101.68</v>
      </c>
      <c r="M24" s="18">
        <v>95.48</v>
      </c>
      <c r="N24" s="18">
        <v>76.88</v>
      </c>
    </row>
    <row r="25" spans="2:16" x14ac:dyDescent="0.25">
      <c r="B25" s="27">
        <f>"Cost per "&amp;IF(B24="Engine hours","hour ($/hr)","mile ($/mi)")</f>
      </c>
      <c r="C25" s="21">
        <f>IFERROR(C23/C24,"")</f>
      </c>
      <c r="D25" s="21">
        <f>IFERROR(D23/D24,"")</f>
      </c>
      <c r="E25" s="21">
        <f>IFERROR(E23/E24,"")</f>
      </c>
      <c r="F25" s="21">
        <f>IFERROR(F23/F24,"")</f>
      </c>
      <c r="G25" s="21">
        <f>IFERROR(G23/G24,"")</f>
      </c>
      <c r="H25" s="21">
        <f>IFERROR(H23/H24,"")</f>
      </c>
      <c r="I25" s="21">
        <f>IFERROR(I23/I24,"")</f>
      </c>
      <c r="J25" s="21">
        <f>IFERROR(J23/J24,"")</f>
      </c>
      <c r="K25" s="21">
        <f>IFERROR(K23/K24,"")</f>
      </c>
      <c r="L25" s="21">
        <f>IFERROR(L23/L24,"")</f>
      </c>
      <c r="M25" s="21">
        <f>IFERROR(M23/M24,"")</f>
      </c>
      <c r="N25" s="21">
        <f>IFERROR(N23/N24,"")</f>
      </c>
      <c r="O25" s="21">
        <f>IFERROR(N25-C25,"")</f>
      </c>
      <c r="P25" s="22">
        <f>IFERROR((N25-C25)/C25,"")</f>
      </c>
    </row>
    <row r="27" ht="58" customHeight="1" spans="1:10" x14ac:dyDescent="0.25">
      <c r="A27" s="24" t="s">
        <v>117</v>
      </c>
      <c r="B27" s="24"/>
      <c r="C27" s="24"/>
      <c r="D27" s="24"/>
      <c r="E27" s="24"/>
      <c r="F27" s="24"/>
      <c r="G27" s="24"/>
      <c r="H27" s="24"/>
      <c r="I27" s="24"/>
      <c r="J27" s="24"/>
    </row>
  </sheetData>
  <mergeCells count="5">
    <mergeCell ref="A1:L1"/>
    <mergeCell ref="A2:C2"/>
    <mergeCell ref="D2:F2"/>
    <mergeCell ref="A3:P3"/>
    <mergeCell ref="A27:J27"/>
  </mergeCells>
  <conditionalFormatting sqref="P7 P10 P13 P16 P19 P22 P25">
    <cfRule type="cellIs" dxfId="1" priority="1" operator="greaterThan">
      <formula>0.1</formula>
    </cfRule>
  </conditionalFormatting>
  <dataValidations count="7">
    <dataValidation type="list" showErrorMessage="1" errorTitle="Pick a denominator" error="Allowed values: Miles, Engine hours" sqref="B12">
      <formula1>"Miles,Engine hours"</formula1>
    </dataValidation>
    <dataValidation type="list" showErrorMessage="1" errorTitle="Pick a denominator" error="Allowed values: Miles, Engine hours" sqref="B15">
      <formula1>"Miles,Engine hours"</formula1>
    </dataValidation>
    <dataValidation type="list" showErrorMessage="1" errorTitle="Pick a denominator" error="Allowed values: Miles, Engine hours" sqref="B18">
      <formula1>"Miles,Engine hours"</formula1>
    </dataValidation>
    <dataValidation type="list" showErrorMessage="1" errorTitle="Pick a denominator" error="Allowed values: Miles, Engine hours" sqref="B21">
      <formula1>"Miles,Engine hours"</formula1>
    </dataValidation>
    <dataValidation type="list" showErrorMessage="1" errorTitle="Pick a denominator" error="Allowed values: Miles, Engine hours" sqref="B24">
      <formula1>"Miles,Engine hours"</formula1>
    </dataValidation>
    <dataValidation type="list" showErrorMessage="1" errorTitle="Pick a denominator" error="Allowed values: Miles, Engine hours" sqref="B6">
      <formula1>"Miles,Engine hours"</formula1>
    </dataValidation>
    <dataValidation type="list" showErrorMessage="1" errorTitle="Pick a denominator" error="Allowed values: Miles, Engine hours" sqref="B9">
      <formula1>"Miles,Engine hours"</formula1>
    </dataValidation>
  </dataValidations>
  <pageMargins left="0.4" right="0.4" top="0.5" bottom="0.5" header="0.3" footer="0.3"/>
  <pageSetup orientation="landscape" horizontalDpi="4294967295" verticalDpi="4294967295" scale="100" fitToWidth="1"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FormatPr defaultRowHeight="15" outlineLevelRow="0" outlineLevelCol="0" x14ac:dyDescent="55"/>
  <cols>
    <col min="1" max="1" width="78" customWidth="1"/>
    <col min="2" max="2" width="12" customWidth="1"/>
  </cols>
  <sheetData>
    <row r="1" spans="1:1" x14ac:dyDescent="0.25">
      <c r="A1" s="28" t="s">
        <v>118</v>
      </c>
    </row>
    <row r="2" spans="1:1" x14ac:dyDescent="0.25">
      <c r="A2" s="29" t="s">
        <v>119</v>
      </c>
    </row>
    <row r="3" spans="1:1" x14ac:dyDescent="0.25">
      <c r="A3" s="29" t="s">
        <v>120</v>
      </c>
    </row>
    <row r="5" spans="1:1" x14ac:dyDescent="0.25">
      <c r="A5" s="28" t="s">
        <v>121</v>
      </c>
    </row>
    <row r="6" spans="1:1" x14ac:dyDescent="0.25">
      <c r="A6" s="9" t="s">
        <v>122</v>
      </c>
    </row>
    <row r="7" spans="1:2" x14ac:dyDescent="0.25">
      <c r="A7" s="30" t="s">
        <v>123</v>
      </c>
      <c r="B7" s="31" t="s">
        <v>124</v>
      </c>
    </row>
    <row r="8" spans="1:2" x14ac:dyDescent="0.25">
      <c r="A8" s="30" t="s">
        <v>125</v>
      </c>
      <c r="B8" s="31" t="s">
        <v>124</v>
      </c>
    </row>
    <row r="9" spans="1:1" x14ac:dyDescent="0.25">
      <c r="A9" s="30" t="s">
        <v>126</v>
      </c>
    </row>
    <row r="11" spans="1:1" x14ac:dyDescent="0.25">
      <c r="A11" s="28" t="s">
        <v>127</v>
      </c>
    </row>
    <row r="12" spans="1:1" x14ac:dyDescent="0.25">
      <c r="A12" s="9" t="s">
        <v>128</v>
      </c>
    </row>
    <row r="13" spans="1:2" x14ac:dyDescent="0.25">
      <c r="A13" s="32" t="s">
        <v>129</v>
      </c>
      <c r="B13" s="33" t="s">
        <v>130</v>
      </c>
    </row>
    <row r="14" spans="1:2" x14ac:dyDescent="0.25">
      <c r="A14" s="32" t="s">
        <v>131</v>
      </c>
      <c r="B14" s="33" t="s">
        <v>130</v>
      </c>
    </row>
    <row r="15" spans="1:2" x14ac:dyDescent="0.25">
      <c r="A15" s="32" t="s">
        <v>132</v>
      </c>
      <c r="B15" s="33" t="s">
        <v>130</v>
      </c>
    </row>
    <row r="16" spans="1:2" x14ac:dyDescent="0.25">
      <c r="A16" s="32" t="s">
        <v>133</v>
      </c>
      <c r="B16" s="33" t="s">
        <v>130</v>
      </c>
    </row>
    <row r="17" spans="1:2" x14ac:dyDescent="0.25">
      <c r="A17" s="32" t="s">
        <v>134</v>
      </c>
      <c r="B17" s="33" t="s">
        <v>130</v>
      </c>
    </row>
    <row r="19" spans="1:1" x14ac:dyDescent="0.25">
      <c r="A19" s="28" t="s">
        <v>135</v>
      </c>
    </row>
    <row r="20" spans="1:1" x14ac:dyDescent="0.25">
      <c r="A20" s="29" t="s">
        <v>136</v>
      </c>
    </row>
    <row r="21" spans="1:1" x14ac:dyDescent="0.25">
      <c r="A21" s="29" t="s">
        <v>137</v>
      </c>
    </row>
    <row r="22" spans="1:1" x14ac:dyDescent="0.25">
      <c r="A22" s="29" t="s">
        <v>138</v>
      </c>
    </row>
  </sheetData>
  <hyperlinks>
    <hyperlink ref="A7" r:id="rId1"/>
    <hyperlink ref="A8" r:id="rId2"/>
    <hyperlink ref="A9" r:id="rId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How to use</vt:lpstr>
      <vt:lpstr>Methodology declaration</vt:lpstr>
      <vt:lpstr>Units</vt:lpstr>
      <vt:lpstr>By class</vt:lpstr>
      <vt:lpstr>Trend</vt:lpstr>
      <vt:lpstr>Sources &amp; method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Fleet Desk</dc:creator>
  <dc:title>Cost per mile / cost per hour workbook</dc:title>
  <dc:subject>Cost per mile / cost per hour workbook — version 1.0</dc:subject>
  <dc:description/>
  <cp:keywords>fleet management, template</cp:keywords>
  <cp:category/>
  <cp:lastModifiedBy>Fleet Desk</cp:lastModifiedBy>
  <dcterms:created xsi:type="dcterms:W3CDTF">2026-08-02T15:27:31Z</dcterms:created>
  <dcterms:modified xsi:type="dcterms:W3CDTF">2026-08-02T15:27:31Z</dcterms:modified>
</cp:coreProperties>
</file>