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Screen parameters" state="visible" r:id="rId5"/>
    <sheet sheetId="3" name="Classes" state="visible" r:id="rId6"/>
    <sheet sheetId="4" name="Facilities" state="visible" r:id="rId7"/>
    <sheet sheetId="5" name="Units" state="visible" r:id="rId8"/>
    <sheet sheetId="6" name="TCO comparison" state="visible" r:id="rId9"/>
    <sheet sheetId="7" name="Revisit list (print)" state="visible" r:id="rId10"/>
    <sheet sheetId="8" name="Sources &amp; method" state="visible" r:id="rId11"/>
  </sheets>
  <definedNames>
    <definedName name="_xlnm.Print_Area" localSheetId="1">'Screen parameters'!$A1:$C51</definedName>
    <definedName name="_xlnm.Print_Area" localSheetId="2">'Classes'!$A1:$F13</definedName>
    <definedName name="_xlnm.Print_Titles" localSheetId="2">'Classes'!$4:$4</definedName>
    <definedName name="_xlnm.Print_Area" localSheetId="3">'Facilities'!$A1:$M10</definedName>
    <definedName name="_xlnm.Print_Titles" localSheetId="3">'Facilities'!$4:$4</definedName>
    <definedName name="_xlnm.Print_Area" localSheetId="4">'Units'!$A1:$AO16</definedName>
    <definedName name="_xlnm.Print_Titles" localSheetId="4">'Units'!$4:$4</definedName>
    <definedName name="_xlnm.Print_Area" localSheetId="5">'TCO comparison'!$A1:$Z16</definedName>
    <definedName name="_xlnm.Print_Titles" localSheetId="5">'TCO comparison'!$4:$4</definedName>
    <definedName name="_xlnm.Print_Area" localSheetId="6">'Revisit list (print)'!$A1:$I9</definedName>
    <definedName name="_xlnm.Print_Titles" localSheetId="6">'Revisit list (print)'!$3:$3</definedName>
  </definedNames>
  <calcPr calcId="171027"/>
</workbook>
</file>

<file path=xl/sharedStrings.xml><?xml version="1.0" encoding="utf-8"?>
<sst xmlns="http://schemas.openxmlformats.org/spreadsheetml/2006/main" count="425" uniqueCount="292">
  <si>
    <t>Electrification suitability screen</t>
  </si>
  <si>
    <t>Version 1.0 — 2026-07-29</t>
  </si>
  <si>
    <t>Input — change this</t>
  </si>
  <si>
    <t>Calculated — do not type here</t>
  </si>
  <si>
    <t>Four filters, in this order: duty cycle, class economics, electrical service, shop readiness. A unit has to pass all four to read Ready now. Read the outcome column first and the score second — the score sequences candidates inside an outcome group, it never overrides a failed filter, and the shipped sample contains a take-home pickup scoring 80 that is still a No.</t>
  </si>
  <si>
    <t>Fill in Screen parameters, Classes and Facilities before Units. Units and TCO comparison look everything up from those three, so a class or a facility that is not listed there produces blanks rather than answers.</t>
  </si>
  <si>
    <t>The input that decides most calls is the 95th-percentile day, not the average. Pull twelve months of odometer or telematics data per unit. A sedan averaging 40 miles that hits 210 once a quarter is a different problem from one that never exceeds 70.</t>
  </si>
  <si>
    <t>Range is derated for winter before the test is applied. The 40% shipped here is a planning figure, not a measurement — replace it once a handful of units have been through a January on your own routes.</t>
  </si>
  <si>
    <t>Filter 3 is where plans die. Enter spare capacity from the utility’s service record and a load study, not from the panel schedule taped inside the door. The sheet gives no capacity credit at all until the load study answer is Yes.</t>
  </si>
  <si>
    <t>Charge power required is daily energy over dwell hours, not charger size. Anything above the Level 2 per-port ceiling is flagged DC fast, which changes both the installed cost and the demand-charge exposure.</t>
  </si>
  <si>
    <t>TCO comparison is an undiscounted simple payback. It excludes resale value, battery replacement, downtime and any difference in insurance. Treat it as a sort order, not a business case.</t>
  </si>
  <si>
    <t>Shop readiness is answered once for the agency and applies to every unit. If you cannot answer Yes to all four today, nothing is Ready now — which is the correct answer, and it is the cheapest of the four filters to fix.</t>
  </si>
  <si>
    <t>Revisit list (print) is the artifact worth the most in front of a council: the assets you are deliberately not electrifying, and the conditions under which you would. It carries no branding, because it becomes your document.</t>
  </si>
  <si>
    <t>Nothing is locked or password protected. Insert rows, add classes, change every threshold.</t>
  </si>
  <si>
    <t>Change these three before the numbers mean anything:</t>
  </si>
  <si>
    <t>•  Units → 95th-percentile day (miles) and Dwell time (hours): these two decide Filter 1 and the charge power every facility is measured against</t>
  </si>
  <si>
    <t>•  Facilities → Spare service capacity (kW) and Load study completed?: Filter 3 scores zero until the load study is done, however much capacity you type</t>
  </si>
  <si>
    <t>•  Screen parameters → Delivered electricity ($/kWh): the shipped default is a national average with no demand charge in it, and a demand charge can undo the whole saving</t>
  </si>
  <si>
    <t>Screen parameters — set them once, write down why, then leave them alone</t>
  </si>
  <si>
    <t>Parameter</t>
  </si>
  <si>
    <t>Value</t>
  </si>
  <si>
    <t>Notes</t>
  </si>
  <si>
    <t>Filter 1 — duty cycle</t>
  </si>
  <si>
    <t>Cold-weather range derate (share of rated range)</t>
  </si>
  <si>
    <t>FuelEconomy.gov reports EV range dropping about 41% at 20°F versus 75°F with cabin heat in use, and about 12% without it — figures from a 2019 AAA test of then-current vehicles, not DOE dynamometer testing. 40% is a conservative planning derate, not your number. Derive your own by comparing observed kWh per mile in January against June on the same routes.</t>
  </si>
  <si>
    <t>95th-percentile day as share of derated range — full points at or below (%)</t>
  </si>
  <si>
    <t>Full marks for a unit with real headroom on its worst normal day, not just a pass.</t>
  </si>
  <si>
    <t>95th-percentile day as share of derated range — pass at or below (%)</t>
  </si>
  <si>
    <t>The guide’s only stated duty-cycle threshold: comfortably under 60% of rated range, tested against the derated figure. The 40% edge above it is this workbook’s.</t>
  </si>
  <si>
    <t>Dwell time — full points at or above (hours)</t>
  </si>
  <si>
    <t>A unit parked overnight and a unit parked between two shifts are different problems.</t>
  </si>
  <si>
    <t>Dwell time — pass at or above (hours)</t>
  </si>
  <si>
    <t>The guide’s “8+ hours parked and pluggable”. The 10-hour edge above it is this workbook’s.</t>
  </si>
  <si>
    <t>Filter 2 — class economics</t>
  </si>
  <si>
    <t>Simple payback — full points at or below (years)</t>
  </si>
  <si>
    <t>Inside a typical light-duty replacement cycle, so the saving lands on this vehicle.</t>
  </si>
  <si>
    <t>Simple payback — partial points at or below (years)</t>
  </si>
  <si>
    <t>Beyond this, a unit still scores 5 points if the payback lands inside its own planned service life, and nothing at all if it does not.</t>
  </si>
  <si>
    <t>Filter 3 — electrical service</t>
  </si>
  <si>
    <t>Charger efficiency, wall to battery (share)</t>
  </si>
  <si>
    <t>FuelEconomy.gov reports battery charging efficiency of 84% to 93% from published studies. 0.90 sits inside that band and is an assumption. It is applied twice: to the energy cost per mile and to the charge power each facility has to find.</t>
  </si>
  <si>
    <t>Level 2 per-port ceiling (kW)</t>
  </si>
  <si>
    <t>AFDC gives Level 2 as 2.9–19.2 kW per port. Above the ceiling the unit needs DC fast charging, which changes the question from “can we add a circuit” to “do we need a new transformer” — and brings demand charges with it.</t>
  </si>
  <si>
    <t>Facility charging load — full points at or below (share of spare capacity)</t>
  </si>
  <si>
    <t>Leaves room for the next phase without going back to the utility.</t>
  </si>
  <si>
    <t>Facility charging load — pass at or above (share of spare capacity)</t>
  </si>
  <si>
    <t>Above all the spare capacity there is, the answer is a service upgrade, not a charger.</t>
  </si>
  <si>
    <t>Filter 4 — shop readiness (answered once, applies to every unit)</t>
  </si>
  <si>
    <t>Technicians ASE xEV Level 2 certified (count)</t>
  </si>
  <si>
    <t>ASE certifies two levels — Level 1 awareness for anyone working around the vehicles, Level 2 for technicians working directly on high-voltage systems. The tests are $38.99 and $49.99 and last five years, which is exactly why the certificate is not the capability: Level 2 assumes formal high-voltage training and demonstrated PPE competency that the fleet still has to pay for. Budget the training, not the test fee.</t>
  </si>
  <si>
    <t>Technicians required before the first delivery (count)</t>
  </si>
  <si>
    <t>Two, so a single absence does not stop high-voltage work for a week.</t>
  </si>
  <si>
    <t>Insulated tools and high-voltage PPE in place? (Yes/No)</t>
  </si>
  <si>
    <t>Yes</t>
  </si>
  <si>
    <t>Budget the tools and the training in the same year as the vehicles.</t>
  </si>
  <si>
    <t>Written de-energisation procedure? (Yes/No)</t>
  </si>
  <si>
    <t>High voltage changes what the shop is allowed to do, not only what it knows how to do.</t>
  </si>
  <si>
    <t>Damaged-pack quarantine location defined? (Yes/No)</t>
  </si>
  <si>
    <t>Decide where a damaged or suspect pack goes before one arrives on a hook.</t>
  </si>
  <si>
    <t>F4a — certified technicians (0–10 pts)</t>
  </si>
  <si>
    <t>Half marks for one certified technician still fail the filter — the target is a target.</t>
  </si>
  <si>
    <t>F4b — insulated tools and PPE (0–5 pts)</t>
  </si>
  <si>
    <t>F4c — de-energisation procedure (0–5 pts)</t>
  </si>
  <si>
    <t>F4d — pack quarantine location (0–5 pts)</t>
  </si>
  <si>
    <t>FILTER 4 — shop readiness (0–25 pts)</t>
  </si>
  <si>
    <t>Agency-wide. Every unit on the screen carries this score.</t>
  </si>
  <si>
    <t>Filter 4 result</t>
  </si>
  <si>
    <t>Most fleets answer No to at least one of these on day one. When they do, nothing on the screen reads Ready now — which is correct, and this is the cheapest of the four filters to fix.</t>
  </si>
  <si>
    <t>Energy prices — replace with your own tariff and fuel records</t>
  </si>
  <si>
    <t>Diesel ($/gal)</t>
  </si>
  <si>
    <t>EIA weekly retail, US average including taxes, week ending 2026-07-27. A national average, not your rack price.</t>
  </si>
  <si>
    <t>Gasoline ($/gal)</t>
  </si>
  <si>
    <t>Delivered electricity ($/kWh, including any demand charge allocation)</t>
  </si>
  <si>
    <t>EIA Electric Power Monthly Table 5.3, commercial sector, US average, May 2026. Energy only — there is no demand charge in this figure. Get the tariff before you model anything.</t>
  </si>
  <si>
    <t>Charging equipment — installed cost per connector</t>
  </si>
  <si>
    <t>Level 2 ($/connector installed)</t>
  </si>
  <si>
    <t>AFDC gives public and workplace Level 2 at about $2,500 per connector and DC fast at $20,000–$60,000 per connector. $40,000 is the midpoint of that range, not a quote. Labour is typically the largest line item and per-charger cost falls sharply on larger installations, so a single-connector figure overstates a depot build and understates a one-off.</t>
  </si>
  <si>
    <t>DC fast ($/connector installed)</t>
  </si>
  <si>
    <t>Class market status — points used by Filter 2</t>
  </si>
  <si>
    <t>At or near parity</t>
  </si>
  <si>
    <t>The guide’s Filter 2 table, scored. Change a number here and every unit in that class moves together, which is the point: class economics are class-wide.</t>
  </si>
  <si>
    <t>Usually favourable</t>
  </si>
  <si>
    <t>Case by case</t>
  </si>
  <si>
    <t>Viable but capital-heavy</t>
  </si>
  <si>
    <t>Mostly not yet</t>
  </si>
  <si>
    <t>Not yet</t>
  </si>
  <si>
    <t>Two of these thresholds come from the guide and everything else on this sheet is this workbook’s, chosen because a spreadsheet cannot leave a cut point undefined. They are inputs for that reason. Changing them changes every result in the file, so change them once, write down why on the Sources &amp; method sheet, and leave them alone for the rest of the screening cycle.</t>
  </si>
  <si>
    <t>EXAMPLE DATA — replace before use. Delete this row once you have your own numbers.</t>
  </si>
  <si>
    <t>Class code</t>
  </si>
  <si>
    <t>Class description</t>
  </si>
  <si>
    <t>Market status</t>
  </si>
  <si>
    <t>EV model on a contract you can buy from? (Yes/No)</t>
  </si>
  <si>
    <t>Status points (0–10 pts)</t>
  </si>
  <si>
    <t>What would change this</t>
  </si>
  <si>
    <t>LD-SED</t>
  </si>
  <si>
    <t>Light-duty sedan, administrative pool</t>
  </si>
  <si>
    <t>Nothing pending — this class is the one to start with.</t>
  </si>
  <si>
    <t>LD-VAN</t>
  </si>
  <si>
    <t>Cargo van, stores and inspections</t>
  </si>
  <si>
    <t>A payload or upfit weight limit that the pack eats into.</t>
  </si>
  <si>
    <t>LD-PU</t>
  </si>
  <si>
    <t>Half-ton pickup, non-towing</t>
  </si>
  <si>
    <t>Towing or payload duty appearing on the assignment — both derate range badly.</t>
  </si>
  <si>
    <t>MD-PU</t>
  </si>
  <si>
    <t>Three-quarter-ton and up work truck</t>
  </si>
  <si>
    <t>No</t>
  </si>
  <si>
    <t>A model on a state or cooperative contract you can actually buy from.</t>
  </si>
  <si>
    <t>HD-REFUSE</t>
  </si>
  <si>
    <t>Rear-loader refuse packer</t>
  </si>
  <si>
    <t>Depot service capacity funded, or grant money that covers the premium.</t>
  </si>
  <si>
    <t>EQ-PLOW</t>
  </si>
  <si>
    <t>Single-axle dump with plow package</t>
  </si>
  <si>
    <t>A comparable northern fleet running one through a full winter of storm duty.</t>
  </si>
  <si>
    <t>EQ-AERIAL</t>
  </si>
  <si>
    <t>Aerial / bucket truck</t>
  </si>
  <si>
    <t>A product with sustained aerial hotel load on a contract you can buy from.</t>
  </si>
  <si>
    <t>The status column is the guide’s Filter 2 table and the guide says plainly that it is not a forecast. It falls out of two things you can check for yourself and both move year to year: whether a model in the class exists on a contract you can actually buy from, and whether the unit runs enough annual mileage to amortise a premium. Do not accept anybody’s parity date — this workbook’s included. Column D is the harder half of that test, and a No there fails Filter 2 outright however good the duty cycle is.</t>
  </si>
  <si>
    <t>Facility</t>
  </si>
  <si>
    <t>Spare service capacity from load study (kW)</t>
  </si>
  <si>
    <t>Load study completed? (Yes/No)</t>
  </si>
  <si>
    <t>Utility account rep engaged? (Yes/No)</t>
  </si>
  <si>
    <t>Units passing filters 1 and 2 here (count)</t>
  </si>
  <si>
    <t>Charging load those units commit (kW)</t>
  </si>
  <si>
    <t>Load as share of spare capacity (%)</t>
  </si>
  <si>
    <t>F3a — capacity headroom (0–15 pts)</t>
  </si>
  <si>
    <t>F3b — load study completed (0–5 pts)</t>
  </si>
  <si>
    <t>F3c — utility engaged (0–5 pts)</t>
  </si>
  <si>
    <t>FILTER 3 — electrical service (0–25 pts)</t>
  </si>
  <si>
    <t>Filter 3 result</t>
  </si>
  <si>
    <t>Note</t>
  </si>
  <si>
    <t>Public Works Yard</t>
  </si>
  <si>
    <t>Load study completed 2026-03. Utility account rep confirmed the service record.</t>
  </si>
  <si>
    <t>Parks Depot</t>
  </si>
  <si>
    <t>Passes, but with almost no headroom left. Phase two needs a service upgrade.</t>
  </si>
  <si>
    <t>Transfer Station</t>
  </si>
  <si>
    <t>One packer commits more load than the site has spare. Service upgrade or no packer.</t>
  </si>
  <si>
    <t>Fire Station 3</t>
  </si>
  <si>
    <t>Figure is off the panel schedule. Scores zero until a load study says otherwise.</t>
  </si>
  <si>
    <t>Column F counts only units that already pass filters 1 and 2 — capacity is committed by vehicles you would actually buy, not by every row on the screen. Column H scores zero until column C says Yes, because the capacity number that matters comes from the utility’s service record and a load study, not the panel schedule taped inside the door. Adding chargers can require panel upgrades, a new service entrance, trenching, sometimes a new transformer, and in the worst case a utility distribution upgrade; AFDC is blunt that labour is typically the largest line item. DOE’s Office of Electricity describes distribution transformers as facing supply-chain constraints with long lead times, and publishes no lead-time figure — ask your utility for theirs. Size conduit beyond what you are installing, because trenching twice is the expensive mistake. The Joint Office of Energy and Transportation (driveelectric.gov, 833-600-2751) provides free technical assistance on siting and utility coordination to public agencies.</t>
  </si>
  <si>
    <t>Unit number</t>
  </si>
  <si>
    <t>Year / make / model</t>
  </si>
  <si>
    <t>Class code (must match Classes)</t>
  </si>
  <si>
    <t>Facility (must match Facilities)</t>
  </si>
  <si>
    <t>Annual miles (mi/yr)</t>
  </si>
  <si>
    <t>95th-percentile day (miles)</t>
  </si>
  <si>
    <t>Candidate EV rated range (miles)</t>
  </si>
  <si>
    <t>Candidate EV energy use (kWh/mi at battery)</t>
  </si>
  <si>
    <t>Dwell time parked and pluggable (hours)</t>
  </si>
  <si>
    <t>Returns to base nightly? (Yes/No)</t>
  </si>
  <si>
    <t>Duty variability (Routine / Surge)</t>
  </si>
  <si>
    <t>Auxiliary load (None / Intermittent / Sustained)</t>
  </si>
  <si>
    <t>Derated winter range (miles)</t>
  </si>
  <si>
    <t>95th-percentile day as share of derated range (%)</t>
  </si>
  <si>
    <t>Daily energy at 95th-percentile day (kWh from the wall)</t>
  </si>
  <si>
    <t>Charge power required over dwell (kW)</t>
  </si>
  <si>
    <t>Charging level indicated</t>
  </si>
  <si>
    <t>F1a — range headroom (0–5 pts)</t>
  </si>
  <si>
    <t>F1b — return to base (0–5 pts)</t>
  </si>
  <si>
    <t>F1c — dwell time (0–5 pts)</t>
  </si>
  <si>
    <t>F1d — duty variability (0–5 pts)</t>
  </si>
  <si>
    <t>F1e — auxiliary load (0–5 pts)</t>
  </si>
  <si>
    <t>FILTER 1 — duty cycle (0–25 pts)</t>
  </si>
  <si>
    <t>Filter 1 result</t>
  </si>
  <si>
    <t>Class market status (from Classes)</t>
  </si>
  <si>
    <t>F2a — class status (0–10 pts)</t>
  </si>
  <si>
    <t>EV model on a contract? (from Classes)</t>
  </si>
  <si>
    <t>Simple payback (years, from TCO comparison)</t>
  </si>
  <si>
    <t>Planned EV service life (years, from TCO comparison)</t>
  </si>
  <si>
    <t>F2b — payback (0–15 pts)</t>
  </si>
  <si>
    <t>FILTER 2 — class economics (0–25 pts)</t>
  </si>
  <si>
    <t>Filter 2 result</t>
  </si>
  <si>
    <t>FILTER 3 — electrical service (0–25 pts, from Facilities)</t>
  </si>
  <si>
    <t>Filter 3 result (from Facilities)</t>
  </si>
  <si>
    <t>FILTER 4 — shop readiness (0–25 pts, agency-wide)</t>
  </si>
  <si>
    <t>Filter 4 result (agency-wide)</t>
  </si>
  <si>
    <t>SUITABILITY SCORE (0–100 pts)</t>
  </si>
  <si>
    <t>Rank (1 = strongest candidate)</t>
  </si>
  <si>
    <t>OUTCOME</t>
  </si>
  <si>
    <t>Conditions that must change</t>
  </si>
  <si>
    <t>Screening note (yours)</t>
  </si>
  <si>
    <t>EV-1042</t>
  </si>
  <si>
    <t>2021 sedan, administrative pool</t>
  </si>
  <si>
    <t>Routine</t>
  </si>
  <si>
    <t>None</t>
  </si>
  <si>
    <t>EV-1108</t>
  </si>
  <si>
    <t>2020 half-ton pickup, building inspections</t>
  </si>
  <si>
    <t>EV-1207</t>
  </si>
  <si>
    <t>2019 half-ton pickup, parks — low mileage</t>
  </si>
  <si>
    <t>Rightsizing candidate. Ask whether this unit needs to exist before asking whether it should be electric.</t>
  </si>
  <si>
    <t>EV-1310</t>
  </si>
  <si>
    <t>2019 half-ton pickup, on-call supervisor take-home</t>
  </si>
  <si>
    <t>Scores 80 and is still a No. A take-home unit has no charging story at a facility you control.</t>
  </si>
  <si>
    <t>EV-2210</t>
  </si>
  <si>
    <t>2018 single-axle dump with plow package</t>
  </si>
  <si>
    <t>Surge</t>
  </si>
  <si>
    <t>Sustained</t>
  </si>
  <si>
    <t>EV-2305</t>
  </si>
  <si>
    <t>2019 rear-loader refuse packer</t>
  </si>
  <si>
    <t>Intermittent</t>
  </si>
  <si>
    <t>Packer body cycles rather than running continuously, so auxiliary load is set to Intermittent. That is a judgement, and it is a dropdown for that reason.</t>
  </si>
  <si>
    <t>EV-3401</t>
  </si>
  <si>
    <t>2017 bucket truck, PTO-heavy</t>
  </si>
  <si>
    <t>EV-4102</t>
  </si>
  <si>
    <t>2022 cargo van, stores</t>
  </si>
  <si>
    <t>EV-4103</t>
  </si>
  <si>
    <t>2021 cargo van, parks maintenance</t>
  </si>
  <si>
    <t>EV-5101</t>
  </si>
  <si>
    <t>2020 half-ton pickup, fire prevention inspections</t>
  </si>
  <si>
    <t>Read the outcome column, then the score — never the other way round. The score sequences candidates inside an outcome group; it does not override a filter. The shipped sample includes a take-home pickup scoring 80 that is Not yet, and a fire-station pickup scoring 63 that is Ready once conditions are met, because the first one has no charging story and the second one has a load study nobody has done. Column V is the row people skip: a unit idling for hours running a lift, a compressor or a scene light is spending battery on work the range rating never contemplated. And before any of this, ask DOE’s rightsizing question — does this unit need to exist at all? An underused vehicle eliminated saves more than the same vehicle electrified.</t>
  </si>
  <si>
    <t>Unit number (must match Units)</t>
  </si>
  <si>
    <t>Year / make / model (from Units)</t>
  </si>
  <si>
    <t>Class code (from Units)</t>
  </si>
  <si>
    <t>Annual miles (mi/yr, from Units)</t>
  </si>
  <si>
    <t>Candidate EV energy use (kWh/mi at battery, from Units)</t>
  </si>
  <si>
    <t>Charging level indicated (from Units)</t>
  </si>
  <si>
    <t>Incumbent fuel (Diesel / Gasoline)</t>
  </si>
  <si>
    <t>Incumbent observed fuel economy (mpg)</t>
  </si>
  <si>
    <t>Incumbent maintenance &amp; repair ($/mi)</t>
  </si>
  <si>
    <t>Incumbent replacement price today ($)</t>
  </si>
  <si>
    <t>Candidate EV purchase price ($)</t>
  </si>
  <si>
    <t>Candidate EV maintenance &amp; repair ($/mi)</t>
  </si>
  <si>
    <t>Grants and incentives applied ($)</t>
  </si>
  <si>
    <t>Planned EV service life (years)</t>
  </si>
  <si>
    <t>Charging connectors allocated (count)</t>
  </si>
  <si>
    <t>Charging equipment installed ($)</t>
  </si>
  <si>
    <t>Incumbent energy ($/mi)</t>
  </si>
  <si>
    <t>Candidate EV energy ($/mi)</t>
  </si>
  <si>
    <t>Energy saving ($/mi)</t>
  </si>
  <si>
    <t>Maintenance saving ($/mi)</t>
  </si>
  <si>
    <t>Operating saving ($/mi)</t>
  </si>
  <si>
    <t>Operating saving ($/yr)</t>
  </si>
  <si>
    <t>Incremental capital ($)</t>
  </si>
  <si>
    <t>Simple payback (years)</t>
  </si>
  <si>
    <t>Lifetime net, undiscounted ($ over planned service life)</t>
  </si>
  <si>
    <t>What this comparison excludes (yours)</t>
  </si>
  <si>
    <t>Gasoline</t>
  </si>
  <si>
    <t>Resale on both sides. Sedan resale is the exclusion that moves this one most.</t>
  </si>
  <si>
    <t>Excludes downtime while the yard runs a single shared connector.</t>
  </si>
  <si>
    <t>Low mileage: the premium never amortises. Rightsizing beats electrifying here.</t>
  </si>
  <si>
    <t>The best payback on the sheet, and the unit still fails Filter 1. Payback is a sort order, not a decision.</t>
  </si>
  <si>
    <t>Diesel</t>
  </si>
  <si>
    <t>Maintenance figures illustrative. Excludes the generator-powered yard on a storm night.</t>
  </si>
  <si>
    <t>Maintenance figures illustrative. Excludes battery replacement inside 12 years.</t>
  </si>
  <si>
    <t>Maintenance figures illustrative. Aerial hotel load is not in the energy figure.</t>
  </si>
  <si>
    <t>Grant amount is illustrative — confirm the programme before it goes in a memo.</t>
  </si>
  <si>
    <t>Second van on the same grant assumption. Both fall over if the grant does.</t>
  </si>
  <si>
    <t>Excludes the service work Fire Station 3 has not scoped yet.</t>
  </si>
  <si>
    <t>This is an undiscounted simple payback and nothing more. It excludes resale value on both sides, battery replacement, downtime, insurance differences and every non-cash reason a fleet buys a vehicle. The only maintenance figures on this sheet with a published source behind them are the light-duty pair — DOE estimates scheduled maintenance for a light-duty BEV at 6.1 cents per mile against 10.1 for a comparable ICE vehicle — and two cautions travel with those: it is a 2021 modelling estimate rather than observed fleet data, and it covers scheduled maintenance only, no repairs, no collision, no battery events. It is also the saving you forfeit entirely if every drivetrain concern goes to a dealer, which is what Filter 4 is for. Every heavy-duty maintenance figure shipped here is illustrative. Cross-check a result you intend to quote against DOE’s own Vehicle Cost Calculator at afdc.energy.gov/calc before it goes in a memo.</t>
  </si>
  <si>
    <t>Class</t>
  </si>
  <si>
    <t>Outcome</t>
  </si>
  <si>
    <t>Suitability score (0–100 pts)</t>
  </si>
  <si>
    <t>Conditions that must change before this is reconsidered</t>
  </si>
  <si>
    <t>Revisit date (YYYY-MM)</t>
  </si>
  <si>
    <t>Owner of the condition</t>
  </si>
  <si>
    <t>2029-01</t>
  </si>
  <si>
    <t>Fleet manager</t>
  </si>
  <si>
    <t>2027-07</t>
  </si>
  <si>
    <t>Fleet manager / utility</t>
  </si>
  <si>
    <t>Being specific here buys credibility for everything else in the plan. Write these down as “revisit in three years, on these conditions” rather than “no” — the condition list is the useful artifact, and column G writes it for you. Paste unit numbers into column A and the rest looks up. Units reading “Ready once conditions are met” belong in the capital plan and the facility work programme, not on this page; this page is the assets you are deliberately not electrifying and why. Nothing on this sheet identifies where it came from, because the moment you edit it it is yours.</t>
  </si>
  <si>
    <t>Which municipal assets to electrify first</t>
  </si>
  <si>
    <t>Companion to https://fleetdesk.axionfleetai.com/guides/which-assets-to-electrify-first/</t>
  </si>
  <si>
    <t>Version 1.0 — reviewed 2026-07-29</t>
  </si>
  <si>
    <t>What in this file is illustrative</t>
  </si>
  <si>
    <t>Everything on the sample rows is example data and none of it is a quote, a rating or a measurement. Specifically: every EV energy-use figure (kWh/mi) and rated range; every incumbent observed fuel economy; every purchase price, EV price and grant amount; and every maintenance cost per mile except the light-duty pair from DOE FOTW #1190. Take your EV energy use and range from the window sticker or fueleconomy.gov, your fuel economy from your own fuel records, and your prices from the contract you can actually buy from.</t>
  </si>
  <si>
    <t>The DC fast installed cost of $40,000 per connector is the midpoint of AFDC’s published $20,000–$60,000 range. It is not a quote and a real site will not land on it.</t>
  </si>
  <si>
    <t>PRIMARY</t>
  </si>
  <si>
    <t>The guide fixes two thresholds on this screen — 60% of derated range and eight hours of dwell. Every other cut point on the Screen parameters sheet is this workbook’s, chosen because a spreadsheet cannot leave a cut point undefined, and every one of them is an editable input.</t>
  </si>
  <si>
    <t>The class market status column reproduces the guide’s own table. The guide says that table is not a forecast and that no parity date should be accepted as applying to your fleet. That includes this one.</t>
  </si>
  <si>
    <t>US DOE AFDC — Rightsizing Your Vehicle Fleet. Evaluate the business case for each vehicle — reassign, replace, eliminate — before deciding what it should be replaced with.</t>
  </si>
  <si>
    <t>US DOE AFDC — Vehicle Cost Calculator. The federal cross-check for any payback on the TCO comparison sheet you intend to quote.</t>
  </si>
  <si>
    <t>US DOE/EPA FuelEconomy.gov — Fuel Economy in Cold Weather. Range drops about 41% at 20°F versus 75°F with cabin heat, about 12% without. Those figures come from a 2019 AAA test of then-current vehicles, not DOE dynamometer testing, and heat-pump vehicles generally do better — read the attribution before quoting it.</t>
  </si>
  <si>
    <t>US DOE/EPA FuelEconomy.gov — Electric vehicles: battery charging efficiency is often 84% to 93% based on published studies. The 90% on the parameters sheet sits inside that band and is an assumption.</t>
  </si>
  <si>
    <t>US EPA — Electric Vehicle Myths. Over 73% of on-road passenger trips were 10 miles or less and over 98% under 75 miles — the distribution argument behind screening on the 95th-percentile day rather than the average.</t>
  </si>
  <si>
    <t>US DOE Vehicle Technologies Office — FOTW #1190. Light-duty BEV scheduled maintenance 6.1 ¢/mi against 10.1 ¢/mi for a comparable ICE vehicle (Burnham et al., 2021). A modelling estimate, scheduled maintenance only — no repairs, no collision, no battery events.</t>
  </si>
  <si>
    <t>US EIA — Electric Power Monthly, Table 5.3. US commercial-sector average retail electricity 13.54 ¢/kWh, May 2026. Energy only, no demand charge.</t>
  </si>
  <si>
    <t>US EIA — Weekly retail gasoline and diesel prices. On-highway diesel $5.313/gal and regular gasoline $4.096/gal, US average including taxes, week ending 27 July 2026.</t>
  </si>
  <si>
    <t>US DOE Office of Electricity — Distribution transformers. DOE states these face supply-chain constraints, long lead times and component shortages, and publishes no lead-time figure. Ask your utility for theirs.</t>
  </si>
  <si>
    <t>Joint Office of Energy and Transportation. Free technical assistance to public agencies on charging siting, utility programmes and funding questions (833-600-2751).</t>
  </si>
  <si>
    <t>ASE — xEV High Voltage Electrical Safety certifications. Level 1 awareness (20 questions, $38.99) and Level 2 technician (30 questions, $49.99), each valid five years. Level 2 assumes prior formal high-voltage training and demonstrated PPE competency — the certificate is not the capability.</t>
  </si>
  <si>
    <t>Record your own decisions</t>
  </si>
  <si>
    <t>The guide asks you to write these down. They travel with the workbook.</t>
  </si>
  <si>
    <t>Date of the odometer or telematics extract the 95th-percentile day figures came from:</t>
  </si>
  <si>
    <t/>
  </si>
  <si>
    <t>Winter derate used, and whether it is the shipped default or measured on your own units:</t>
  </si>
  <si>
    <t>Delivered electricity price basis — tariff name, and whether a demand charge is included:</t>
  </si>
  <si>
    <t>Who at the utility was engaged, on what date, and what they said about capacity:</t>
  </si>
  <si>
    <t>Who confirmed the shop readiness answers, and the budget year the training is funded in:</t>
  </si>
  <si>
    <t>Assets deliberately excluded this cycle, and the date they will be re-screened:</t>
  </si>
  <si>
    <t>About this template</t>
  </si>
  <si>
    <t>Published by Fleet Desk — https://fleetdesk.axionfleetai.com</t>
  </si>
  <si>
    <t>Free to use, adapt and distribute, including commercially. No attribution required.</t>
  </si>
  <si>
    <t>Sponsored by Axion (axionfleetai.com), which had no editorial control over this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</si>
</sst>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00"/>
    <numFmt numFmtId="167" formatCode="$#,##0.0000"/>
    <numFmt numFmtId="168" formatCode="0.000"/>
  </numFmts>
  <fonts count="17" x14ac:knownFonts="1">
    <font>
      <color theme="1"/>
      <family val="2"/>
      <scheme val="minor"/>
      <sz val="11"/>
      <name val="Calibri"/>
    </font>
    <font>
      <b/>
      <sz val="14"/>
    </font>
    <font>
      <color rgb="FF666666"/>
      <sz val="9"/>
    </font>
    <font>
      <b/>
      <sz val="9"/>
    </font>
    <font>
      <sz val="10"/>
    </font>
    <font>
      <b/>
      <sz val="10"/>
    </font>
    <font>
      <b/>
      <sz val="12"/>
    </font>
    <font>
      <b/>
      <color rgb="FFFFFFFF"/>
      <sz val="9"/>
    </font>
    <font>
      <b/>
      <i/>
      <sz val="10"/>
    </font>
    <font>
      <i/>
      <sz val="9"/>
    </font>
    <font>
      <b/>
      <color rgb="FF23414B"/>
      <sz val="9"/>
    </font>
    <font>
      <b/>
      <color rgb="FF8A1C1C"/>
      <sz val="10"/>
    </font>
    <font>
      <sz val="9"/>
    </font>
    <font>
      <b/>
      <sz val="11"/>
    </font>
    <font>
      <b/>
      <color rgb="FF1F5E70"/>
      <sz val="8"/>
    </font>
    <font>
      <u/>
      <color rgb="FF1F5E70"/>
      <sz val="10"/>
    </font>
    <font>
      <i/>
      <sz val="10"/>
    </font>
  </fonts>
  <fills count="7">
    <fill>
      <patternFill patternType="none"/>
    </fill>
    <fill>
      <patternFill patternType="gray125"/>
    </fill>
    <fill>
      <patternFill patternType="solid">
        <fgColor rgb="FFFDF1D6"/>
      </patternFill>
    </fill>
    <fill>
      <patternFill patternType="solid">
        <fgColor rgb="FFE8EEF2"/>
      </patternFill>
    </fill>
    <fill>
      <patternFill patternType="solid">
        <fgColor rgb="FFFFF7CC"/>
      </patternFill>
    </fill>
    <fill>
      <patternFill patternType="solid">
        <fgColor rgb="FF23414B"/>
      </patternFill>
    </fill>
    <fill>
      <patternFill patternType="solid">
        <fgColor rgb="FFF6D5D5"/>
      </patternFill>
    </fill>
  </fills>
  <borders count="2">
    <border>
      <left/>
      <right/>
      <top/>
      <bottom/>
      <diagonal/>
    </border>
    <border>
      <left/>
      <right/>
      <top/>
      <bottom style="hair"/>
      <diagonal/>
    </border>
  </borders>
  <cellStyleXfs count="1">
    <xf numFmtId="0" fontId="0" fillId="0" borderId="0"/>
  </cellStyleXfs>
  <cellXfs count="55">
    <xf numFmtId="0" fontId="0" fillId="0" borderId="0" xfId="0"/>
    <xf numFmtId="0" fontId="1" fillId="0" borderId="0" xfId="0" applyFont="1"/>
    <xf numFmtId="0" fontId="2" fillId="0" borderId="0" xfId="0" applyFont="1"/>
    <xf numFmtId="0" fontId="3" fillId="2" borderId="0" xfId="0" applyFont="1" applyFill="1"/>
    <xf numFmtId="0" fontId="3" fillId="3" borderId="0" xfId="0" applyFont="1" applyFill="1"/>
    <xf numFmtId="0" fontId="4" fillId="0" borderId="0" xfId="0" applyFont="1" applyAlignment="1">
      <alignment vertical="top" wrapText="1"/>
    </xf>
    <xf numFmtId="0" fontId="5" fillId="0" borderId="0" xfId="0" applyFont="1"/>
    <xf numFmtId="0" fontId="4" fillId="4" borderId="0" xfId="0" applyFont="1" applyFill="1"/>
    <xf numFmtId="0" fontId="6" fillId="0" borderId="0" xfId="0" applyFont="1"/>
    <xf numFmtId="0" fontId="7" fillId="5" borderId="0" xfId="0" applyFont="1" applyFill="1" applyAlignment="1">
      <alignment vertical="bottom" wrapText="1"/>
    </xf>
    <xf numFmtId="0" fontId="8" fillId="0" borderId="0" xfId="0" applyFont="1"/>
    <xf numFmtId="164" fontId="5" fillId="2" borderId="0" xfId="0" applyNumberFormat="1" applyFont="1" applyFill="1" applyAlignment="1">
      <alignment horizontal="center"/>
    </xf>
    <xf numFmtId="0" fontId="9" fillId="0" borderId="0" xfId="0" applyFont="1" applyAlignment="1">
      <alignment vertical="top" wrapText="1"/>
    </xf>
    <xf numFmtId="3" fontId="5" fillId="2" borderId="0" xfId="0" applyNumberFormat="1" applyFont="1" applyFill="1" applyAlignment="1">
      <alignment horizontal="center"/>
    </xf>
    <xf numFmtId="165" fontId="5" fillId="2" borderId="0" xfId="0" applyNumberFormat="1" applyFont="1" applyFill="1" applyAlignment="1">
      <alignment horizontal="center"/>
    </xf>
    <xf numFmtId="0" fontId="5" fillId="2" borderId="0" xfId="0" applyFont="1" applyFill="1" applyAlignment="1">
      <alignment horizontal="center"/>
    </xf>
    <xf numFmtId="3" fontId="5" fillId="3" borderId="0" xfId="0" applyNumberFormat="1" applyFont="1" applyFill="1"/>
    <xf numFmtId="0" fontId="5" fillId="3" borderId="0" xfId="0" applyFont="1" applyFill="1" applyAlignment="1">
      <alignment horizontal="left" wrapText="1"/>
    </xf>
    <xf numFmtId="166" fontId="5" fillId="2" borderId="0" xfId="0" applyNumberFormat="1" applyFont="1" applyFill="1" applyAlignment="1">
      <alignment horizontal="center"/>
    </xf>
    <xf numFmtId="167" fontId="5" fillId="2" borderId="0" xfId="0" applyNumberFormat="1" applyFont="1" applyFill="1" applyAlignment="1">
      <alignment horizontal="center"/>
    </xf>
    <xf numFmtId="0" fontId="4" fillId="0" borderId="0" xfId="0" applyFont="1"/>
    <xf numFmtId="3" fontId="5" fillId="2" borderId="0" xfId="0" applyNumberFormat="1" applyFont="1" applyFill="1"/>
    <xf numFmtId="0" fontId="10" fillId="3" borderId="0" xfId="0" applyFont="1" applyFill="1" applyAlignment="1">
      <alignment vertical="center" wrapText="1"/>
    </xf>
    <xf numFmtId="0" fontId="11" fillId="6" borderId="0" xfId="0" applyFont="1" applyFill="1"/>
    <xf numFmtId="0" fontId="5" fillId="2" borderId="0" xfId="0" applyFont="1" applyFill="1"/>
    <xf numFmtId="0" fontId="4" fillId="2" borderId="0" xfId="0" applyFont="1" applyFill="1"/>
    <xf numFmtId="0" fontId="4" fillId="2" borderId="0" xfId="0" applyFont="1" applyFill="1" applyAlignment="1">
      <alignment horizontal="center"/>
    </xf>
    <xf numFmtId="3" fontId="0" fillId="3" borderId="0" xfId="0" applyNumberFormat="1" applyFill="1"/>
    <xf numFmtId="0" fontId="12" fillId="2" borderId="0" xfId="0" applyFont="1" applyFill="1" applyAlignment="1">
      <alignment vertical="top" wrapText="1"/>
    </xf>
    <xf numFmtId="165" fontId="0" fillId="2" borderId="0" xfId="0" applyNumberFormat="1" applyFill="1"/>
    <xf numFmtId="0" fontId="0" fillId="2" borderId="0" xfId="0" applyFill="1" applyAlignment="1">
      <alignment horizontal="center"/>
    </xf>
    <xf numFmtId="165" fontId="0" fillId="3" borderId="0" xfId="0" applyNumberFormat="1" applyFill="1"/>
    <xf numFmtId="164" fontId="0" fillId="3" borderId="0" xfId="0" applyNumberFormat="1" applyFill="1"/>
    <xf numFmtId="0" fontId="0" fillId="3" borderId="0" xfId="0" applyFill="1" applyAlignment="1">
      <alignment wrapText="1"/>
    </xf>
    <xf numFmtId="3" fontId="4" fillId="2" borderId="0" xfId="0" applyNumberFormat="1" applyFont="1" applyFill="1"/>
    <xf numFmtId="168" fontId="4" fillId="2" borderId="0" xfId="0" applyNumberFormat="1" applyFont="1" applyFill="1"/>
    <xf numFmtId="165" fontId="4" fillId="2" borderId="0" xfId="0" applyNumberFormat="1" applyFont="1" applyFill="1"/>
    <xf numFmtId="0" fontId="0" fillId="3" borderId="0" xfId="0" applyFill="1"/>
    <xf numFmtId="4" fontId="0" fillId="3" borderId="0" xfId="0" applyNumberFormat="1" applyFill="1"/>
    <xf numFmtId="3" fontId="5" fillId="4" borderId="0" xfId="0" applyNumberFormat="1" applyFont="1" applyFill="1"/>
    <xf numFmtId="0" fontId="5" fillId="3" borderId="0" xfId="0" applyFont="1" applyFill="1" applyAlignment="1">
      <alignment wrapText="1"/>
    </xf>
    <xf numFmtId="0" fontId="12" fillId="3" borderId="0" xfId="0" applyFont="1" applyFill="1" applyAlignment="1">
      <alignment vertical="top" wrapText="1"/>
    </xf>
    <xf numFmtId="168" fontId="0" fillId="3" borderId="0" xfId="0" applyNumberFormat="1" applyFill="1"/>
    <xf numFmtId="166" fontId="4" fillId="2" borderId="0" xfId="0" applyNumberFormat="1" applyFont="1" applyFill="1"/>
    <xf numFmtId="166" fontId="0" fillId="3" borderId="0" xfId="0" applyNumberFormat="1" applyFill="1"/>
    <xf numFmtId="4" fontId="5" fillId="3" borderId="0" xfId="0" applyNumberFormat="1" applyFont="1" applyFill="1"/>
    <xf numFmtId="0" fontId="4" fillId="3" borderId="1" xfId="0" applyFont="1" applyFill="1" applyBorder="1" applyAlignment="1">
      <alignment vertical="top" wrapText="1"/>
    </xf>
    <xf numFmtId="3" fontId="4" fillId="3" borderId="1" xfId="0" applyNumberFormat="1" applyFont="1" applyFill="1" applyBorder="1" applyAlignment="1">
      <alignment vertical="top" wrapText="1"/>
    </xf>
    <xf numFmtId="0" fontId="12" fillId="3" borderId="1" xfId="0" applyFont="1" applyFill="1" applyBorder="1" applyAlignment="1">
      <alignment vertical="top" wrapText="1"/>
    </xf>
    <xf numFmtId="0" fontId="13" fillId="0" borderId="0" xfId="0" applyFont="1"/>
    <xf numFmtId="0" fontId="4" fillId="0" borderId="0" xfId="0" applyFont="1" applyAlignment="1">
      <alignment wrapText="1"/>
    </xf>
    <xf numFmtId="0" fontId="14" fillId="0" borderId="0" xfId="0" applyFont="1"/>
    <xf numFmtId="0" fontId="15" fillId="0" borderId="0" xfId="0" applyFont="1"/>
    <xf numFmtId="0" fontId="16" fillId="0" borderId="0" xfId="0" applyFont="1" applyAlignment="1">
      <alignment wrapText="1"/>
    </xf>
    <xf numFmtId="0" fontId="0" fillId="2" borderId="1" xfId="0" applyFill="1" applyBorder="1"/>
  </cellXfs>
  <cellStyles count="1">
    <cellStyle name="Normal" xfId="0" builtinId="0"/>
  </cellStyles>
  <dxfs count="4">
    <dxf>
      <fill>
        <patternFill patternType="solid">
          <fgColor rgb="FFFDE2E2"/>
        </patternFill>
      </fill>
    </dxf>
    <dxf>
      <fill>
        <patternFill patternType="solid">
          <fgColor rgb="FFDDEFE0"/>
        </patternFill>
      </fill>
    </dxf>
    <dxf>
      <fill>
        <patternFill patternType="solid">
          <fgColor rgb="FFFFF7CC"/>
        </patternFill>
      </fill>
    </dxf>
    <dxf>
      <fill>
        <patternFill patternType="solid">
          <fgColor rgb="FFFD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hyperlink" Target="https://afdc.energy.gov/conserve/rightsizing" TargetMode="External"/><Relationship Id="rId2" Type="http://schemas.openxmlformats.org/officeDocument/2006/relationships/hyperlink" Target="https://afdc.energy.gov/calc/" TargetMode="External"/><Relationship Id="rId3" Type="http://schemas.openxmlformats.org/officeDocument/2006/relationships/hyperlink" Target="https://www.fueleconomy.gov/feg/coldweather.shtml" TargetMode="External"/><Relationship Id="rId4" Type="http://schemas.openxmlformats.org/officeDocument/2006/relationships/hyperlink" Target="https://www.fueleconomy.gov/feg/evtech.shtml" TargetMode="External"/><Relationship Id="rId5" Type="http://schemas.openxmlformats.org/officeDocument/2006/relationships/hyperlink" Target="https://www.epa.gov/greenvehicles/electric-vehicle-myths" TargetMode="External"/><Relationship Id="rId6" Type="http://schemas.openxmlformats.org/officeDocument/2006/relationships/hyperlink" Target="https://www.energy.gov/cmei/vehicles/articles/fotw-1190-june-14-2021-battery-electric-vehicles-have-lower-scheduled" TargetMode="External"/><Relationship Id="rId7" Type="http://schemas.openxmlformats.org/officeDocument/2006/relationships/hyperlink" Target="https://www.eia.gov/electricity/monthly/epm_table_grapher.php?t=epmt_5_3" TargetMode="External"/><Relationship Id="rId8" Type="http://schemas.openxmlformats.org/officeDocument/2006/relationships/hyperlink" Target="https://www.eia.gov/petroleum/gasdiesel/" TargetMode="External"/><Relationship Id="rId9" Type="http://schemas.openxmlformats.org/officeDocument/2006/relationships/hyperlink" Target="https://www.energy.gov/oe/distribution-transformers" TargetMode="External"/><Relationship Id="rId10" Type="http://schemas.openxmlformats.org/officeDocument/2006/relationships/hyperlink" Target="https://driveelectric.gov/" TargetMode="External"/><Relationship Id="rId11" Type="http://schemas.openxmlformats.org/officeDocument/2006/relationships/hyperlink" Target="https://www.ase.com/e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FormatPr defaultRowHeight="15" outlineLevelRow="0" outlineLevelCol="0" x14ac:dyDescent="55"/>
  <cols>
    <col min="1" max="1" width="96" customWidth="1"/>
  </cols>
  <sheetData>
    <row r="1" spans="1:1" x14ac:dyDescent="0.25">
      <c r="A1" s="1" t="s">
        <v>0</v>
      </c>
    </row>
    <row r="2" spans="1:1" x14ac:dyDescent="0.25">
      <c r="A2" s="2" t="s">
        <v>1</v>
      </c>
    </row>
    <row r="4" spans="1:6" x14ac:dyDescent="0.25">
      <c r="A4" s="3" t="s">
        <v>2</v>
      </c>
      <c r="B4" s="3"/>
      <c r="C4" s="3"/>
      <c r="D4" s="4" t="s">
        <v>3</v>
      </c>
      <c r="E4" s="4"/>
      <c r="F4" s="4"/>
    </row>
    <row r="6" ht="28" customHeight="1" spans="1:1" x14ac:dyDescent="0.25">
      <c r="A6" s="5" t="s">
        <v>4</v>
      </c>
    </row>
    <row r="7" ht="28" customHeight="1" spans="1:1" x14ac:dyDescent="0.25">
      <c r="A7" s="5" t="s">
        <v>5</v>
      </c>
    </row>
    <row r="8" ht="28" customHeight="1" spans="1:1" x14ac:dyDescent="0.25">
      <c r="A8" s="5" t="s">
        <v>6</v>
      </c>
    </row>
    <row r="9" ht="28" customHeight="1" spans="1:1" x14ac:dyDescent="0.25">
      <c r="A9" s="5" t="s">
        <v>7</v>
      </c>
    </row>
    <row r="10" ht="28" customHeight="1" spans="1:1" x14ac:dyDescent="0.25">
      <c r="A10" s="5" t="s">
        <v>8</v>
      </c>
    </row>
    <row r="11" ht="28" customHeight="1" spans="1:1" x14ac:dyDescent="0.25">
      <c r="A11" s="5" t="s">
        <v>9</v>
      </c>
    </row>
    <row r="12" ht="28" customHeight="1" spans="1:1" x14ac:dyDescent="0.25">
      <c r="A12" s="5" t="s">
        <v>10</v>
      </c>
    </row>
    <row r="13" ht="28" customHeight="1" spans="1:1" x14ac:dyDescent="0.25">
      <c r="A13" s="5" t="s">
        <v>11</v>
      </c>
    </row>
    <row r="14" ht="28" customHeight="1" spans="1:1" x14ac:dyDescent="0.25">
      <c r="A14" s="5" t="s">
        <v>12</v>
      </c>
    </row>
    <row r="15" ht="15" customHeight="1" spans="1:1" x14ac:dyDescent="0.25">
      <c r="A15" s="5" t="s">
        <v>13</v>
      </c>
    </row>
    <row r="17" spans="1:1" x14ac:dyDescent="0.25">
      <c r="A17" s="6" t="s">
        <v>14</v>
      </c>
    </row>
    <row r="18" spans="1:1" x14ac:dyDescent="0.25">
      <c r="A18" s="7" t="s">
        <v>15</v>
      </c>
    </row>
    <row r="19" spans="1:1" x14ac:dyDescent="0.25">
      <c r="A19" s="7" t="s">
        <v>16</v>
      </c>
    </row>
    <row r="20" spans="1:1" x14ac:dyDescent="0.25">
      <c r="A20" s="7" t="s">
        <v>17</v>
      </c>
    </row>
  </sheetData>
  <mergeCells count="2">
    <mergeCell ref="A4:C4"/>
    <mergeCell ref="D4:F4"/>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
  <sheetFormatPr defaultRowHeight="15" outlineLevelRow="0" outlineLevelCol="0" x14ac:dyDescent="55"/>
  <cols>
    <col min="1" max="1" width="52" customWidth="1"/>
    <col min="2" max="2" width="14" customWidth="1"/>
    <col min="3" max="3" width="64" customWidth="1"/>
  </cols>
  <sheetData>
    <row r="1" spans="1:6" x14ac:dyDescent="0.25">
      <c r="A1" s="3" t="s">
        <v>2</v>
      </c>
      <c r="B1" s="3"/>
      <c r="C1" s="3"/>
      <c r="D1" s="4" t="s">
        <v>3</v>
      </c>
      <c r="E1" s="4"/>
      <c r="F1" s="4"/>
    </row>
    <row r="2" spans="1:1" x14ac:dyDescent="0.25">
      <c r="A2" s="8" t="s">
        <v>18</v>
      </c>
    </row>
    <row r="3" ht="30" customHeight="1" spans="1:3" x14ac:dyDescent="0.25">
      <c r="A3" s="9" t="s">
        <v>19</v>
      </c>
      <c r="B3" s="9" t="s">
        <v>20</v>
      </c>
      <c r="C3" s="9" t="s">
        <v>21</v>
      </c>
    </row>
    <row r="4" spans="1:1" x14ac:dyDescent="0.25">
      <c r="A4" s="10" t="s">
        <v>22</v>
      </c>
    </row>
    <row r="5" ht="62" customHeight="1" spans="1:3" x14ac:dyDescent="0.25">
      <c r="A5" s="5" t="s">
        <v>23</v>
      </c>
      <c r="B5" s="11">
        <v>0.4</v>
      </c>
      <c r="C5" s="12" t="s">
        <v>24</v>
      </c>
    </row>
    <row r="6" ht="26" customHeight="1" spans="1:3" x14ac:dyDescent="0.25">
      <c r="A6" s="5" t="s">
        <v>25</v>
      </c>
      <c r="B6" s="11">
        <v>0.4</v>
      </c>
      <c r="C6" s="12" t="s">
        <v>26</v>
      </c>
    </row>
    <row r="7" ht="40" customHeight="1" spans="1:3" x14ac:dyDescent="0.25">
      <c r="A7" s="5" t="s">
        <v>27</v>
      </c>
      <c r="B7" s="11">
        <v>0.6</v>
      </c>
      <c r="C7" s="12" t="s">
        <v>28</v>
      </c>
    </row>
    <row r="8" ht="26" customHeight="1" spans="1:3" x14ac:dyDescent="0.25">
      <c r="A8" s="5" t="s">
        <v>29</v>
      </c>
      <c r="B8" s="13">
        <v>10</v>
      </c>
      <c r="C8" s="12" t="s">
        <v>30</v>
      </c>
    </row>
    <row r="9" ht="26" customHeight="1" spans="1:3" x14ac:dyDescent="0.25">
      <c r="A9" s="5" t="s">
        <v>31</v>
      </c>
      <c r="B9" s="13">
        <v>8</v>
      </c>
      <c r="C9" s="12" t="s">
        <v>32</v>
      </c>
    </row>
    <row r="11" spans="1:1" x14ac:dyDescent="0.25">
      <c r="A11" s="10" t="s">
        <v>33</v>
      </c>
    </row>
    <row r="12" ht="26" customHeight="1" spans="1:3" x14ac:dyDescent="0.25">
      <c r="A12" s="5" t="s">
        <v>34</v>
      </c>
      <c r="B12" s="13">
        <v>5</v>
      </c>
      <c r="C12" s="12" t="s">
        <v>35</v>
      </c>
    </row>
    <row r="13" ht="40" customHeight="1" spans="1:3" x14ac:dyDescent="0.25">
      <c r="A13" s="5" t="s">
        <v>36</v>
      </c>
      <c r="B13" s="13">
        <v>8</v>
      </c>
      <c r="C13" s="12" t="s">
        <v>37</v>
      </c>
    </row>
    <row r="15" spans="1:1" x14ac:dyDescent="0.25">
      <c r="A15" s="10" t="s">
        <v>38</v>
      </c>
    </row>
    <row r="16" ht="62" customHeight="1" spans="1:3" x14ac:dyDescent="0.25">
      <c r="A16" s="5" t="s">
        <v>39</v>
      </c>
      <c r="B16" s="11">
        <v>0.9</v>
      </c>
      <c r="C16" s="12" t="s">
        <v>40</v>
      </c>
    </row>
    <row r="17" ht="40" customHeight="1" spans="1:3" x14ac:dyDescent="0.25">
      <c r="A17" s="5" t="s">
        <v>41</v>
      </c>
      <c r="B17" s="14">
        <v>19.2</v>
      </c>
      <c r="C17" s="12" t="s">
        <v>42</v>
      </c>
    </row>
    <row r="18" ht="26" customHeight="1" spans="1:3" x14ac:dyDescent="0.25">
      <c r="A18" s="5" t="s">
        <v>43</v>
      </c>
      <c r="B18" s="11">
        <v>0.8</v>
      </c>
      <c r="C18" s="12" t="s">
        <v>44</v>
      </c>
    </row>
    <row r="19" ht="26" customHeight="1" spans="1:3" x14ac:dyDescent="0.25">
      <c r="A19" s="5" t="s">
        <v>45</v>
      </c>
      <c r="B19" s="11">
        <v>1</v>
      </c>
      <c r="C19" s="12" t="s">
        <v>46</v>
      </c>
    </row>
    <row r="21" spans="1:1" x14ac:dyDescent="0.25">
      <c r="A21" s="10" t="s">
        <v>47</v>
      </c>
    </row>
    <row r="22" ht="62" customHeight="1" spans="1:3" x14ac:dyDescent="0.25">
      <c r="A22" s="5" t="s">
        <v>48</v>
      </c>
      <c r="B22" s="13">
        <v>2</v>
      </c>
      <c r="C22" s="12" t="s">
        <v>49</v>
      </c>
    </row>
    <row r="23" ht="26" customHeight="1" spans="1:3" x14ac:dyDescent="0.25">
      <c r="A23" s="5" t="s">
        <v>50</v>
      </c>
      <c r="B23" s="13">
        <v>2</v>
      </c>
      <c r="C23" s="12" t="s">
        <v>51</v>
      </c>
    </row>
    <row r="24" ht="26" customHeight="1" spans="1:3" x14ac:dyDescent="0.25">
      <c r="A24" s="5" t="s">
        <v>52</v>
      </c>
      <c r="B24" s="15" t="s">
        <v>53</v>
      </c>
      <c r="C24" s="12" t="s">
        <v>54</v>
      </c>
    </row>
    <row r="25" ht="26" customHeight="1" spans="1:3" x14ac:dyDescent="0.25">
      <c r="A25" s="5" t="s">
        <v>55</v>
      </c>
      <c r="B25" s="15" t="s">
        <v>53</v>
      </c>
      <c r="C25" s="12" t="s">
        <v>56</v>
      </c>
    </row>
    <row r="26" ht="26" customHeight="1" spans="1:3" x14ac:dyDescent="0.25">
      <c r="A26" s="5" t="s">
        <v>57</v>
      </c>
      <c r="B26" s="15" t="s">
        <v>53</v>
      </c>
      <c r="C26" s="12" t="s">
        <v>58</v>
      </c>
    </row>
    <row r="27" ht="26" customHeight="1" spans="1:3" x14ac:dyDescent="0.25">
      <c r="A27" s="5" t="s">
        <v>59</v>
      </c>
      <c r="B27" s="16">
        <f>IF($B$22&gt;=$B$23,10,IF($B$22&gt;=1,5,0))</f>
      </c>
      <c r="C27" s="12" t="s">
        <v>60</v>
      </c>
    </row>
    <row r="28" spans="1:2" x14ac:dyDescent="0.25">
      <c r="A28" s="5" t="s">
        <v>61</v>
      </c>
      <c r="B28" s="16">
        <f>IF($B$24="Yes",5,0)</f>
      </c>
    </row>
    <row r="29" spans="1:2" x14ac:dyDescent="0.25">
      <c r="A29" s="5" t="s">
        <v>62</v>
      </c>
      <c r="B29" s="16">
        <f>IF($B$25="Yes",5,0)</f>
      </c>
    </row>
    <row r="30" spans="1:2" x14ac:dyDescent="0.25">
      <c r="A30" s="5" t="s">
        <v>63</v>
      </c>
      <c r="B30" s="16">
        <f>IF($B$26="Yes",5,0)</f>
      </c>
    </row>
    <row r="31" ht="26" customHeight="1" spans="1:3" x14ac:dyDescent="0.25">
      <c r="A31" s="5" t="s">
        <v>64</v>
      </c>
      <c r="B31" s="16">
        <f>SUM($B$27:$B$30)</f>
      </c>
      <c r="C31" s="12" t="s">
        <v>65</v>
      </c>
    </row>
    <row r="32" ht="40" customHeight="1" spans="1:3" x14ac:dyDescent="0.25">
      <c r="A32" s="5" t="s">
        <v>66</v>
      </c>
      <c r="B32" s="17">
        <f>IF(MIN(IF($B$22&gt;=$B$23,1,0),IF($B$24="Yes",1,0),IF($B$25="Yes",1,0),IF($B$26="Yes",1,0))&gt;0,"Pass",IF($B$22&gt;=$B$23,"","Certified technicians below target. ")&amp;IF($B$24="Yes","","Insulated tools and HV PPE not in place. ")&amp;IF($B$25="Yes","","No written de-energisation procedure. ")&amp;IF($B$26="Yes","","No damaged-pack quarantine location. "))</f>
      </c>
      <c r="C32" s="12" t="s">
        <v>67</v>
      </c>
    </row>
    <row r="34" spans="1:1" x14ac:dyDescent="0.25">
      <c r="A34" s="10" t="s">
        <v>68</v>
      </c>
    </row>
    <row r="35" ht="40" customHeight="1" spans="1:3" x14ac:dyDescent="0.25">
      <c r="A35" s="5" t="s">
        <v>69</v>
      </c>
      <c r="B35" s="18">
        <v>5.313</v>
      </c>
      <c r="C35" s="12" t="s">
        <v>70</v>
      </c>
    </row>
    <row r="36" ht="40" customHeight="1" spans="1:3" x14ac:dyDescent="0.25">
      <c r="A36" s="5" t="s">
        <v>71</v>
      </c>
      <c r="B36" s="18">
        <v>4.096</v>
      </c>
      <c r="C36" s="12" t="s">
        <v>70</v>
      </c>
    </row>
    <row r="37" ht="40" customHeight="1" spans="1:3" x14ac:dyDescent="0.25">
      <c r="A37" s="5" t="s">
        <v>72</v>
      </c>
      <c r="B37" s="19">
        <v>0.1354</v>
      </c>
      <c r="C37" s="12" t="s">
        <v>73</v>
      </c>
    </row>
    <row r="39" spans="1:1" x14ac:dyDescent="0.25">
      <c r="A39" s="10" t="s">
        <v>74</v>
      </c>
    </row>
    <row r="40" ht="62" customHeight="1" spans="1:3" x14ac:dyDescent="0.25">
      <c r="A40" s="5" t="s">
        <v>75</v>
      </c>
      <c r="B40" s="13">
        <v>2500</v>
      </c>
      <c r="C40" s="12" t="s">
        <v>76</v>
      </c>
    </row>
    <row r="41" ht="62" customHeight="1" spans="1:3" x14ac:dyDescent="0.25">
      <c r="A41" s="5" t="s">
        <v>77</v>
      </c>
      <c r="B41" s="13">
        <v>40000</v>
      </c>
      <c r="C41" s="12" t="s">
        <v>76</v>
      </c>
    </row>
    <row r="43" spans="1:1" x14ac:dyDescent="0.25">
      <c r="A43" s="10" t="s">
        <v>78</v>
      </c>
    </row>
    <row r="44" ht="40" customHeight="1" spans="1:3" x14ac:dyDescent="0.25">
      <c r="A44" s="20" t="s">
        <v>79</v>
      </c>
      <c r="B44" s="21">
        <v>10</v>
      </c>
      <c r="C44" s="12" t="s">
        <v>80</v>
      </c>
    </row>
    <row r="45" spans="1:2" x14ac:dyDescent="0.25">
      <c r="A45" s="20" t="s">
        <v>81</v>
      </c>
      <c r="B45" s="21">
        <v>8</v>
      </c>
    </row>
    <row r="46" spans="1:2" x14ac:dyDescent="0.25">
      <c r="A46" s="20" t="s">
        <v>82</v>
      </c>
      <c r="B46" s="21">
        <v>5</v>
      </c>
    </row>
    <row r="47" spans="1:2" x14ac:dyDescent="0.25">
      <c r="A47" s="20" t="s">
        <v>83</v>
      </c>
      <c r="B47" s="21">
        <v>4</v>
      </c>
    </row>
    <row r="48" spans="1:2" x14ac:dyDescent="0.25">
      <c r="A48" s="20" t="s">
        <v>84</v>
      </c>
      <c r="B48" s="21">
        <v>1</v>
      </c>
    </row>
    <row r="49" spans="1:2" x14ac:dyDescent="0.25">
      <c r="A49" s="20" t="s">
        <v>85</v>
      </c>
      <c r="B49" s="21">
        <v>0</v>
      </c>
    </row>
    <row r="51" ht="44" customHeight="1" spans="1:3" x14ac:dyDescent="0.25">
      <c r="A51" s="12" t="s">
        <v>86</v>
      </c>
      <c r="B51" s="12"/>
      <c r="C51" s="12"/>
    </row>
  </sheetData>
  <mergeCells count="3">
    <mergeCell ref="A1:C1"/>
    <mergeCell ref="D1:F1"/>
    <mergeCell ref="A51:C51"/>
  </mergeCells>
  <dataValidations count="1">
    <dataValidation type="list" allowBlank="1" showErrorMessage="1" errorTitle="Pick one" error="Allowed values: Yes,No" sqref="B24:B26">
      <formula1>"Yes,No"</formula1>
    </dataValidation>
  </dataValidations>
  <pageMargins left="0.6" right="0.6" top="0.7" bottom="0.7" header="0.3" footer="0.3"/>
  <pageSetup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pane xSplit="1" ySplit="4" topLeftCell="B5" activePane="bottomRight" state="frozen"/>
      <selection pane="bottomRight"/>
    </sheetView>
  </sheetViews>
  <sheetFormatPr defaultRowHeight="15" outlineLevelRow="0" outlineLevelCol="0" x14ac:dyDescent="55"/>
  <cols>
    <col min="1" max="1" width="14" customWidth="1"/>
    <col min="2" max="2" width="40" customWidth="1"/>
    <col min="3" max="3" width="24" customWidth="1"/>
    <col min="4" max="4" width="14" customWidth="1"/>
    <col min="5" max="5" width="10" customWidth="1"/>
    <col min="6" max="6" width="56" customWidth="1"/>
  </cols>
  <sheetData>
    <row r="1" ht="26" customHeight="1" spans="1:6" x14ac:dyDescent="0.25">
      <c r="A1" s="22">
        <f>"Screening on a "&amp;TEXT('Screen parameters'!$B$5,"0%")&amp;" winter derate, a duty-cycle test at "&amp;TEXT('Screen parameters'!$B$7,"0%")&amp;" of derated range, and delivered electricity at "&amp;TEXT('Screen parameters'!$B$37,"$0.0000")&amp;"/kWh with no demand charge in it. Change these on Screen parameters, not here."</f>
      </c>
      <c r="B1" s="22"/>
      <c r="C1" s="22"/>
      <c r="D1" s="22"/>
      <c r="E1" s="22"/>
      <c r="F1" s="22"/>
    </row>
    <row r="2" spans="1:6" x14ac:dyDescent="0.25">
      <c r="A2" s="3" t="s">
        <v>2</v>
      </c>
      <c r="B2" s="3"/>
      <c r="C2" s="3"/>
      <c r="D2" s="4" t="s">
        <v>3</v>
      </c>
      <c r="E2" s="4"/>
      <c r="F2" s="4"/>
    </row>
    <row r="3" spans="1:6" x14ac:dyDescent="0.25">
      <c r="A3" s="23" t="s">
        <v>87</v>
      </c>
      <c r="B3" s="23"/>
      <c r="C3" s="23"/>
      <c r="D3" s="23"/>
      <c r="E3" s="23"/>
      <c r="F3" s="23"/>
    </row>
    <row r="4" ht="30" customHeight="1" spans="1:6" x14ac:dyDescent="0.25">
      <c r="A4" s="9" t="s">
        <v>88</v>
      </c>
      <c r="B4" s="9" t="s">
        <v>89</v>
      </c>
      <c r="C4" s="9" t="s">
        <v>90</v>
      </c>
      <c r="D4" s="9" t="s">
        <v>91</v>
      </c>
      <c r="E4" s="9" t="s">
        <v>92</v>
      </c>
      <c r="F4" s="9" t="s">
        <v>93</v>
      </c>
    </row>
    <row r="5" spans="1:6" x14ac:dyDescent="0.25">
      <c r="A5" s="24" t="s">
        <v>94</v>
      </c>
      <c r="B5" s="25" t="s">
        <v>95</v>
      </c>
      <c r="C5" s="25" t="s">
        <v>79</v>
      </c>
      <c r="D5" s="26" t="s">
        <v>53</v>
      </c>
      <c r="E5" s="27">
        <f>IFERROR(INDEX('Screen parameters'!$B$44:$B$49,MATCH($C5,'Screen parameters'!$A$44:$A$49,0)),0)</f>
      </c>
      <c r="F5" s="28" t="s">
        <v>96</v>
      </c>
    </row>
    <row r="6" spans="1:6" x14ac:dyDescent="0.25">
      <c r="A6" s="24" t="s">
        <v>97</v>
      </c>
      <c r="B6" s="25" t="s">
        <v>98</v>
      </c>
      <c r="C6" s="25" t="s">
        <v>81</v>
      </c>
      <c r="D6" s="26" t="s">
        <v>53</v>
      </c>
      <c r="E6" s="27">
        <f>IFERROR(INDEX('Screen parameters'!$B$44:$B$49,MATCH($C6,'Screen parameters'!$A$44:$A$49,0)),0)</f>
      </c>
      <c r="F6" s="28" t="s">
        <v>99</v>
      </c>
    </row>
    <row r="7" spans="1:6" x14ac:dyDescent="0.25">
      <c r="A7" s="24" t="s">
        <v>100</v>
      </c>
      <c r="B7" s="25" t="s">
        <v>101</v>
      </c>
      <c r="C7" s="25" t="s">
        <v>82</v>
      </c>
      <c r="D7" s="26" t="s">
        <v>53</v>
      </c>
      <c r="E7" s="27">
        <f>IFERROR(INDEX('Screen parameters'!$B$44:$B$49,MATCH($C7,'Screen parameters'!$A$44:$A$49,0)),0)</f>
      </c>
      <c r="F7" s="28" t="s">
        <v>102</v>
      </c>
    </row>
    <row r="8" spans="1:6" x14ac:dyDescent="0.25">
      <c r="A8" s="24" t="s">
        <v>103</v>
      </c>
      <c r="B8" s="25" t="s">
        <v>104</v>
      </c>
      <c r="C8" s="25" t="s">
        <v>84</v>
      </c>
      <c r="D8" s="26" t="s">
        <v>105</v>
      </c>
      <c r="E8" s="27">
        <f>IFERROR(INDEX('Screen parameters'!$B$44:$B$49,MATCH($C8,'Screen parameters'!$A$44:$A$49,0)),0)</f>
      </c>
      <c r="F8" s="28" t="s">
        <v>106</v>
      </c>
    </row>
    <row r="9" spans="1:6" x14ac:dyDescent="0.25">
      <c r="A9" s="24" t="s">
        <v>107</v>
      </c>
      <c r="B9" s="25" t="s">
        <v>108</v>
      </c>
      <c r="C9" s="25" t="s">
        <v>83</v>
      </c>
      <c r="D9" s="26" t="s">
        <v>53</v>
      </c>
      <c r="E9" s="27">
        <f>IFERROR(INDEX('Screen parameters'!$B$44:$B$49,MATCH($C9,'Screen parameters'!$A$44:$A$49,0)),0)</f>
      </c>
      <c r="F9" s="28" t="s">
        <v>109</v>
      </c>
    </row>
    <row r="10" spans="1:6" x14ac:dyDescent="0.25">
      <c r="A10" s="24" t="s">
        <v>110</v>
      </c>
      <c r="B10" s="25" t="s">
        <v>111</v>
      </c>
      <c r="C10" s="25" t="s">
        <v>85</v>
      </c>
      <c r="D10" s="26" t="s">
        <v>105</v>
      </c>
      <c r="E10" s="27">
        <f>IFERROR(INDEX('Screen parameters'!$B$44:$B$49,MATCH($C10,'Screen parameters'!$A$44:$A$49,0)),0)</f>
      </c>
      <c r="F10" s="28" t="s">
        <v>112</v>
      </c>
    </row>
    <row r="11" spans="1:6" x14ac:dyDescent="0.25">
      <c r="A11" s="24" t="s">
        <v>113</v>
      </c>
      <c r="B11" s="25" t="s">
        <v>114</v>
      </c>
      <c r="C11" s="25" t="s">
        <v>85</v>
      </c>
      <c r="D11" s="26" t="s">
        <v>105</v>
      </c>
      <c r="E11" s="27">
        <f>IFERROR(INDEX('Screen parameters'!$B$44:$B$49,MATCH($C11,'Screen parameters'!$A$44:$A$49,0)),0)</f>
      </c>
      <c r="F11" s="28" t="s">
        <v>115</v>
      </c>
    </row>
    <row r="13" ht="44" customHeight="1" spans="1:6" x14ac:dyDescent="0.25">
      <c r="A13" s="12" t="s">
        <v>116</v>
      </c>
      <c r="B13" s="12"/>
      <c r="C13" s="12"/>
      <c r="D13" s="12"/>
      <c r="E13" s="12"/>
      <c r="F13" s="12"/>
    </row>
  </sheetData>
  <mergeCells count="5">
    <mergeCell ref="A1:F1"/>
    <mergeCell ref="A2:C2"/>
    <mergeCell ref="D2:F2"/>
    <mergeCell ref="A3:F3"/>
    <mergeCell ref="A13:F13"/>
  </mergeCells>
  <dataValidations count="4">
    <dataValidation type="list" allowBlank="1" showErrorMessage="1" errorTitle="Pick one" error="Allowed values: At or near parity,Usually favourable,Case by case,Viable but capital-heavy,Mostly not yet,Not yet" sqref="C10:C11">
      <formula1>"At or near parity,Usually favourable,Case by case,Viable but capital-heavy,Mostly not yet,Not yet"</formula1>
    </dataValidation>
    <dataValidation type="list" allowBlank="1" showErrorMessage="1" errorTitle="Pick one" error="Allowed values: At or near parity,Usually favourable,Case by case,Viable but capital-heavy,Mostly not yet,Not yet" sqref="C5:C11">
      <formula1>"At or near parity,Usually favourable,Case by case,Viable but capital-heavy,Mostly not yet,Not yet"</formula1>
    </dataValidation>
    <dataValidation type="list" allowBlank="1" showErrorMessage="1" errorTitle="Pick one" error="Allowed values: Yes,No" sqref="D10:D11">
      <formula1>"Yes,No"</formula1>
    </dataValidation>
    <dataValidation type="list" allowBlank="1" showErrorMessage="1" errorTitle="Pick one" error="Allowed values: Yes,No" sqref="D5:D11">
      <formula1>"Yes,No"</formula1>
    </dataValidation>
  </dataValidations>
  <pageMargins left="0.4" right="0.4" top="0.5" bottom="0.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workbookViewId="0">
      <pane xSplit="1" ySplit="4" topLeftCell="B5" activePane="bottomRight" state="frozen"/>
      <selection pane="bottomRight"/>
    </sheetView>
  </sheetViews>
  <sheetFormatPr defaultRowHeight="15" outlineLevelRow="0" outlineLevelCol="0" x14ac:dyDescent="55"/>
  <cols>
    <col min="1" max="1" width="24" customWidth="1"/>
    <col min="2" max="2" width="13" customWidth="1"/>
    <col min="3" max="4" width="12" customWidth="1"/>
    <col min="5" max="5" width="11" customWidth="1"/>
    <col min="6" max="6" width="13" customWidth="1"/>
    <col min="7" max="7" width="11" customWidth="1"/>
    <col min="8" max="10" width="10" customWidth="1"/>
    <col min="11" max="11" width="12" customWidth="1"/>
    <col min="12" max="12" width="38" customWidth="1"/>
    <col min="13" max="13" width="46" customWidth="1"/>
  </cols>
  <sheetData>
    <row r="1" ht="26" customHeight="1" spans="1:12" x14ac:dyDescent="0.25">
      <c r="A1" s="22">
        <f>"Screening on a "&amp;TEXT('Screen parameters'!$B$5,"0%")&amp;" winter derate, a duty-cycle test at "&amp;TEXT('Screen parameters'!$B$7,"0%")&amp;" of derated range, and delivered electricity at "&amp;TEXT('Screen parameters'!$B$37,"$0.0000")&amp;"/kWh with no demand charge in it. Change these on Screen parameters, not here."</f>
      </c>
      <c r="B1" s="22"/>
      <c r="C1" s="22"/>
      <c r="D1" s="22"/>
      <c r="E1" s="22"/>
      <c r="F1" s="22"/>
      <c r="G1" s="22"/>
      <c r="H1" s="22"/>
      <c r="I1" s="22"/>
      <c r="J1" s="22"/>
      <c r="K1" s="22"/>
      <c r="L1" s="22"/>
    </row>
    <row r="2" spans="1:6" x14ac:dyDescent="0.25">
      <c r="A2" s="3" t="s">
        <v>2</v>
      </c>
      <c r="B2" s="3"/>
      <c r="C2" s="3"/>
      <c r="D2" s="4" t="s">
        <v>3</v>
      </c>
      <c r="E2" s="4"/>
      <c r="F2" s="4"/>
    </row>
    <row r="3" spans="1:13" x14ac:dyDescent="0.25">
      <c r="A3" s="23" t="s">
        <v>87</v>
      </c>
      <c r="B3" s="23"/>
      <c r="C3" s="23"/>
      <c r="D3" s="23"/>
      <c r="E3" s="23"/>
      <c r="F3" s="23"/>
      <c r="G3" s="23"/>
      <c r="H3" s="23"/>
      <c r="I3" s="23"/>
      <c r="J3" s="23"/>
      <c r="K3" s="23"/>
      <c r="L3" s="23"/>
      <c r="M3" s="23"/>
    </row>
    <row r="4" ht="30" customHeight="1" spans="1:13" x14ac:dyDescent="0.25">
      <c r="A4" s="9" t="s">
        <v>117</v>
      </c>
      <c r="B4" s="9" t="s">
        <v>118</v>
      </c>
      <c r="C4" s="9" t="s">
        <v>119</v>
      </c>
      <c r="D4" s="9" t="s">
        <v>120</v>
      </c>
      <c r="E4" s="9" t="s">
        <v>121</v>
      </c>
      <c r="F4" s="9" t="s">
        <v>122</v>
      </c>
      <c r="G4" s="9" t="s">
        <v>123</v>
      </c>
      <c r="H4" s="9" t="s">
        <v>124</v>
      </c>
      <c r="I4" s="9" t="s">
        <v>125</v>
      </c>
      <c r="J4" s="9" t="s">
        <v>126</v>
      </c>
      <c r="K4" s="9" t="s">
        <v>127</v>
      </c>
      <c r="L4" s="9" t="s">
        <v>128</v>
      </c>
      <c r="M4" s="9" t="s">
        <v>129</v>
      </c>
    </row>
    <row r="5" spans="1:13" x14ac:dyDescent="0.25">
      <c r="A5" s="24" t="s">
        <v>130</v>
      </c>
      <c r="B5" s="29">
        <v>180</v>
      </c>
      <c r="C5" s="30" t="s">
        <v>53</v>
      </c>
      <c r="D5" s="30" t="s">
        <v>53</v>
      </c>
      <c r="E5" s="27">
        <f>COUNTIFS(Units!$D$5:$D$304,$A5,Units!$X$5:$X$304,"Pass",Units!$AF$5:$AF$304,"Pass")</f>
      </c>
      <c r="F5" s="31">
        <f>SUMIFS(Units!$P$5:$P$304,Units!$D$5:$D$304,$A5,Units!$X$5:$X$304,"Pass",Units!$AF$5:$AF$304,"Pass")</f>
      </c>
      <c r="G5" s="32">
        <f>IFERROR(F5/B5,"")</f>
      </c>
      <c r="H5" s="27">
        <f>IF($C5&lt;&gt;"Yes",0,IF(G5="",0,IF(G5&lt;='Screen parameters'!$B$18,15,IF(G5&lt;='Screen parameters'!$B$19,8,0))))</f>
      </c>
      <c r="I5" s="27">
        <f>IF($C5="Yes",5,0)</f>
      </c>
      <c r="J5" s="27">
        <f>IF($D5="Yes",5,0)</f>
      </c>
      <c r="K5" s="16">
        <f>SUM(H5:J5)</f>
      </c>
      <c r="L5" s="33">
        <f>IF($C5&lt;&gt;"Yes","Load study not completed",IF($D5&lt;&gt;"Yes","Utility not engaged",IF(G5="","No spare capacity figure recorded",IF(G5&gt;'Screen parameters'!$B$19,"Charging load exceeds spare capacity","Pass"))))</f>
      </c>
      <c r="M5" s="28" t="s">
        <v>131</v>
      </c>
    </row>
    <row r="6" spans="1:13" x14ac:dyDescent="0.25">
      <c r="A6" s="24" t="s">
        <v>132</v>
      </c>
      <c r="B6" s="29">
        <v>7</v>
      </c>
      <c r="C6" s="30" t="s">
        <v>53</v>
      </c>
      <c r="D6" s="30" t="s">
        <v>53</v>
      </c>
      <c r="E6" s="27">
        <f>COUNTIFS(Units!$D$5:$D$304,$A6,Units!$X$5:$X$304,"Pass",Units!$AF$5:$AF$304,"Pass")</f>
      </c>
      <c r="F6" s="31">
        <f>SUMIFS(Units!$P$5:$P$304,Units!$D$5:$D$304,$A6,Units!$X$5:$X$304,"Pass",Units!$AF$5:$AF$304,"Pass")</f>
      </c>
      <c r="G6" s="32">
        <f>IFERROR(F6/B6,"")</f>
      </c>
      <c r="H6" s="27">
        <f>IF($C6&lt;&gt;"Yes",0,IF(G6="",0,IF(G6&lt;='Screen parameters'!$B$18,15,IF(G6&lt;='Screen parameters'!$B$19,8,0))))</f>
      </c>
      <c r="I6" s="27">
        <f>IF($C6="Yes",5,0)</f>
      </c>
      <c r="J6" s="27">
        <f>IF($D6="Yes",5,0)</f>
      </c>
      <c r="K6" s="16">
        <f>SUM(H6:J6)</f>
      </c>
      <c r="L6" s="33">
        <f>IF($C6&lt;&gt;"Yes","Load study not completed",IF($D6&lt;&gt;"Yes","Utility not engaged",IF(G6="","No spare capacity figure recorded",IF(G6&gt;'Screen parameters'!$B$19,"Charging load exceeds spare capacity","Pass"))))</f>
      </c>
      <c r="M6" s="28" t="s">
        <v>133</v>
      </c>
    </row>
    <row r="7" spans="1:13" x14ac:dyDescent="0.25">
      <c r="A7" s="24" t="s">
        <v>134</v>
      </c>
      <c r="B7" s="29">
        <v>12</v>
      </c>
      <c r="C7" s="30" t="s">
        <v>53</v>
      </c>
      <c r="D7" s="30" t="s">
        <v>53</v>
      </c>
      <c r="E7" s="27">
        <f>COUNTIFS(Units!$D$5:$D$304,$A7,Units!$X$5:$X$304,"Pass",Units!$AF$5:$AF$304,"Pass")</f>
      </c>
      <c r="F7" s="31">
        <f>SUMIFS(Units!$P$5:$P$304,Units!$D$5:$D$304,$A7,Units!$X$5:$X$304,"Pass",Units!$AF$5:$AF$304,"Pass")</f>
      </c>
      <c r="G7" s="32">
        <f>IFERROR(F7/B7,"")</f>
      </c>
      <c r="H7" s="27">
        <f>IF($C7&lt;&gt;"Yes",0,IF(G7="",0,IF(G7&lt;='Screen parameters'!$B$18,15,IF(G7&lt;='Screen parameters'!$B$19,8,0))))</f>
      </c>
      <c r="I7" s="27">
        <f>IF($C7="Yes",5,0)</f>
      </c>
      <c r="J7" s="27">
        <f>IF($D7="Yes",5,0)</f>
      </c>
      <c r="K7" s="16">
        <f>SUM(H7:J7)</f>
      </c>
      <c r="L7" s="33">
        <f>IF($C7&lt;&gt;"Yes","Load study not completed",IF($D7&lt;&gt;"Yes","Utility not engaged",IF(G7="","No spare capacity figure recorded",IF(G7&gt;'Screen parameters'!$B$19,"Charging load exceeds spare capacity","Pass"))))</f>
      </c>
      <c r="M7" s="28" t="s">
        <v>135</v>
      </c>
    </row>
    <row r="8" spans="1:13" x14ac:dyDescent="0.25">
      <c r="A8" s="24" t="s">
        <v>136</v>
      </c>
      <c r="B8" s="29">
        <v>60</v>
      </c>
      <c r="C8" s="30" t="s">
        <v>105</v>
      </c>
      <c r="D8" s="30" t="s">
        <v>105</v>
      </c>
      <c r="E8" s="27">
        <f>COUNTIFS(Units!$D$5:$D$304,$A8,Units!$X$5:$X$304,"Pass",Units!$AF$5:$AF$304,"Pass")</f>
      </c>
      <c r="F8" s="31">
        <f>SUMIFS(Units!$P$5:$P$304,Units!$D$5:$D$304,$A8,Units!$X$5:$X$304,"Pass",Units!$AF$5:$AF$304,"Pass")</f>
      </c>
      <c r="G8" s="32">
        <f>IFERROR(F8/B8,"")</f>
      </c>
      <c r="H8" s="27">
        <f>IF($C8&lt;&gt;"Yes",0,IF(G8="",0,IF(G8&lt;='Screen parameters'!$B$18,15,IF(G8&lt;='Screen parameters'!$B$19,8,0))))</f>
      </c>
      <c r="I8" s="27">
        <f>IF($C8="Yes",5,0)</f>
      </c>
      <c r="J8" s="27">
        <f>IF($D8="Yes",5,0)</f>
      </c>
      <c r="K8" s="16">
        <f>SUM(H8:J8)</f>
      </c>
      <c r="L8" s="33">
        <f>IF($C8&lt;&gt;"Yes","Load study not completed",IF($D8&lt;&gt;"Yes","Utility not engaged",IF(G8="","No spare capacity figure recorded",IF(G8&gt;'Screen parameters'!$B$19,"Charging load exceeds spare capacity","Pass"))))</f>
      </c>
      <c r="M8" s="28" t="s">
        <v>137</v>
      </c>
    </row>
    <row r="10" ht="58" customHeight="1" spans="1:13" x14ac:dyDescent="0.25">
      <c r="A10" s="12" t="s">
        <v>138</v>
      </c>
      <c r="B10" s="12"/>
      <c r="C10" s="12"/>
      <c r="D10" s="12"/>
      <c r="E10" s="12"/>
      <c r="F10" s="12"/>
      <c r="G10" s="12"/>
      <c r="H10" s="12"/>
      <c r="I10" s="12"/>
      <c r="J10" s="12"/>
      <c r="K10" s="12"/>
      <c r="L10" s="12"/>
      <c r="M10" s="12"/>
    </row>
  </sheetData>
  <mergeCells count="5">
    <mergeCell ref="A1:L1"/>
    <mergeCell ref="A2:C2"/>
    <mergeCell ref="D2:F2"/>
    <mergeCell ref="A3:M3"/>
    <mergeCell ref="A10:M10"/>
  </mergeCells>
  <conditionalFormatting sqref="K5:K8">
    <cfRule type="cellIs" dxfId="0" priority="1" operator="lessThan">
      <formula>1</formula>
    </cfRule>
  </conditionalFormatting>
  <dataValidations count="1">
    <dataValidation type="list" allowBlank="1" showErrorMessage="1" errorTitle="Pick one" error="Allowed values: Yes,No" sqref="C5:D8">
      <formula1>"Yes,No"</formula1>
    </dataValidation>
  </dataValidations>
  <pageMargins left="0.4" right="0.4" top="0.5" bottom="0.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6"/>
  <sheetViews>
    <sheetView workbookViewId="0">
      <pane xSplit="1" ySplit="4" topLeftCell="B5" activePane="bottomRight" state="frozen"/>
      <selection pane="bottomRight"/>
    </sheetView>
  </sheetViews>
  <sheetFormatPr defaultRowHeight="15" outlineLevelRow="0" outlineLevelCol="0" x14ac:dyDescent="55"/>
  <cols>
    <col min="1" max="1" width="12" customWidth="1"/>
    <col min="2" max="2" width="34" customWidth="1"/>
    <col min="3" max="3" width="12" customWidth="1"/>
    <col min="4" max="4" width="20" customWidth="1"/>
    <col min="5" max="7" width="11" customWidth="1"/>
    <col min="8" max="8" width="12" customWidth="1"/>
    <col min="9" max="10" width="10" customWidth="1"/>
    <col min="11" max="11" width="12" customWidth="1"/>
    <col min="12" max="12" width="13" customWidth="1"/>
    <col min="13" max="13" width="11" customWidth="1"/>
    <col min="14" max="15" width="12" customWidth="1"/>
    <col min="16" max="16" width="11" customWidth="1"/>
    <col min="17" max="17" width="26" customWidth="1"/>
    <col min="23" max="23" width="11" customWidth="1"/>
    <col min="24" max="24" width="10" customWidth="1"/>
    <col min="25" max="25" width="22" customWidth="1"/>
    <col min="27" max="28" width="11" customWidth="1"/>
    <col min="29" max="29" width="10" customWidth="1"/>
    <col min="31" max="31" width="11" customWidth="1"/>
    <col min="32" max="32" width="10" customWidth="1"/>
    <col min="33" max="33" width="12" customWidth="1"/>
    <col min="34" max="34" width="34" customWidth="1"/>
    <col min="35" max="35" width="12" customWidth="1"/>
    <col min="36" max="36" width="30" customWidth="1"/>
    <col min="37" max="37" width="12" customWidth="1"/>
    <col min="39" max="39" width="28" customWidth="1"/>
    <col min="40" max="40" width="62" customWidth="1"/>
    <col min="41" max="41" width="46" customWidth="1"/>
  </cols>
  <sheetData>
    <row r="1" ht="26" customHeight="1" spans="1:12" x14ac:dyDescent="0.25">
      <c r="A1" s="22">
        <f>"Screening on a "&amp;TEXT('Screen parameters'!$B$5,"0%")&amp;" winter derate, a duty-cycle test at "&amp;TEXT('Screen parameters'!$B$7,"0%")&amp;" of derated range, and delivered electricity at "&amp;TEXT('Screen parameters'!$B$37,"$0.0000")&amp;"/kWh with no demand charge in it. Change these on Screen parameters, not here."</f>
      </c>
      <c r="B1" s="22"/>
      <c r="C1" s="22"/>
      <c r="D1" s="22"/>
      <c r="E1" s="22"/>
      <c r="F1" s="22"/>
      <c r="G1" s="22"/>
      <c r="H1" s="22"/>
      <c r="I1" s="22"/>
      <c r="J1" s="22"/>
      <c r="K1" s="22"/>
      <c r="L1" s="22"/>
    </row>
    <row r="2" spans="1:6" x14ac:dyDescent="0.25">
      <c r="A2" s="3" t="s">
        <v>2</v>
      </c>
      <c r="B2" s="3"/>
      <c r="C2" s="3"/>
      <c r="D2" s="4" t="s">
        <v>3</v>
      </c>
      <c r="E2" s="4"/>
      <c r="F2" s="4"/>
    </row>
    <row r="3" spans="1:41" x14ac:dyDescent="0.25">
      <c r="A3" s="23" t="s">
        <v>87</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row>
    <row r="4" ht="30" customHeight="1" spans="1:41" x14ac:dyDescent="0.25">
      <c r="A4" s="9" t="s">
        <v>139</v>
      </c>
      <c r="B4" s="9" t="s">
        <v>140</v>
      </c>
      <c r="C4" s="9" t="s">
        <v>141</v>
      </c>
      <c r="D4" s="9" t="s">
        <v>142</v>
      </c>
      <c r="E4" s="9" t="s">
        <v>143</v>
      </c>
      <c r="F4" s="9" t="s">
        <v>144</v>
      </c>
      <c r="G4" s="9" t="s">
        <v>145</v>
      </c>
      <c r="H4" s="9" t="s">
        <v>146</v>
      </c>
      <c r="I4" s="9" t="s">
        <v>147</v>
      </c>
      <c r="J4" s="9" t="s">
        <v>148</v>
      </c>
      <c r="K4" s="9" t="s">
        <v>149</v>
      </c>
      <c r="L4" s="9" t="s">
        <v>150</v>
      </c>
      <c r="M4" s="9" t="s">
        <v>151</v>
      </c>
      <c r="N4" s="9" t="s">
        <v>152</v>
      </c>
      <c r="O4" s="9" t="s">
        <v>153</v>
      </c>
      <c r="P4" s="9" t="s">
        <v>154</v>
      </c>
      <c r="Q4" s="9" t="s">
        <v>155</v>
      </c>
      <c r="R4" s="9" t="s">
        <v>156</v>
      </c>
      <c r="S4" s="9" t="s">
        <v>157</v>
      </c>
      <c r="T4" s="9" t="s">
        <v>158</v>
      </c>
      <c r="U4" s="9" t="s">
        <v>159</v>
      </c>
      <c r="V4" s="9" t="s">
        <v>160</v>
      </c>
      <c r="W4" s="9" t="s">
        <v>161</v>
      </c>
      <c r="X4" s="9" t="s">
        <v>162</v>
      </c>
      <c r="Y4" s="9" t="s">
        <v>163</v>
      </c>
      <c r="Z4" s="9" t="s">
        <v>164</v>
      </c>
      <c r="AA4" s="9" t="s">
        <v>165</v>
      </c>
      <c r="AB4" s="9" t="s">
        <v>166</v>
      </c>
      <c r="AC4" s="9" t="s">
        <v>167</v>
      </c>
      <c r="AD4" s="9" t="s">
        <v>168</v>
      </c>
      <c r="AE4" s="9" t="s">
        <v>169</v>
      </c>
      <c r="AF4" s="9" t="s">
        <v>170</v>
      </c>
      <c r="AG4" s="9" t="s">
        <v>171</v>
      </c>
      <c r="AH4" s="9" t="s">
        <v>172</v>
      </c>
      <c r="AI4" s="9" t="s">
        <v>173</v>
      </c>
      <c r="AJ4" s="9" t="s">
        <v>174</v>
      </c>
      <c r="AK4" s="9" t="s">
        <v>175</v>
      </c>
      <c r="AL4" s="9" t="s">
        <v>176</v>
      </c>
      <c r="AM4" s="9" t="s">
        <v>177</v>
      </c>
      <c r="AN4" s="9" t="s">
        <v>178</v>
      </c>
      <c r="AO4" s="9" t="s">
        <v>179</v>
      </c>
    </row>
    <row r="5" spans="1:41" x14ac:dyDescent="0.25">
      <c r="A5" s="24" t="s">
        <v>180</v>
      </c>
      <c r="B5" s="25" t="s">
        <v>181</v>
      </c>
      <c r="C5" s="25" t="s">
        <v>94</v>
      </c>
      <c r="D5" s="25" t="s">
        <v>130</v>
      </c>
      <c r="E5" s="34">
        <v>9000</v>
      </c>
      <c r="F5" s="34">
        <v>58</v>
      </c>
      <c r="G5" s="34">
        <v>250</v>
      </c>
      <c r="H5" s="35">
        <v>0.29</v>
      </c>
      <c r="I5" s="36">
        <v>14</v>
      </c>
      <c r="J5" s="25" t="s">
        <v>53</v>
      </c>
      <c r="K5" s="25" t="s">
        <v>182</v>
      </c>
      <c r="L5" s="25" t="s">
        <v>183</v>
      </c>
      <c r="M5" s="27">
        <f>ROUND($G5*(1-'Screen parameters'!$B$5),0)</f>
      </c>
      <c r="N5" s="32">
        <f>IFERROR($F5/M5,"")</f>
      </c>
      <c r="O5" s="31">
        <f>IFERROR($F5*$H5/'Screen parameters'!$B$16,"")</f>
      </c>
      <c r="P5" s="31">
        <f>IFERROR(O5/$I5,"")</f>
      </c>
      <c r="Q5" s="37">
        <f>IF(P5="","",IF(P5&gt;'Screen parameters'!$B$17,"DC fast — check demand charges","Level 2"))</f>
      </c>
      <c r="R5" s="27">
        <f>IF(N5="",0,IF(N5&lt;='Screen parameters'!$B$6,5,IF(N5&lt;='Screen parameters'!$B$7,3,0)))</f>
      </c>
      <c r="S5" s="27">
        <f>IF($J5="Yes",5,0)</f>
      </c>
      <c r="T5" s="27">
        <f>IF($I5&gt;='Screen parameters'!$B$8,5,IF($I5&gt;='Screen parameters'!$B$9,3,0))</f>
      </c>
      <c r="U5" s="27">
        <f>IF($K5="Routine",5,0)</f>
      </c>
      <c r="V5" s="27">
        <f>IF($L5="None",5,IF($L5="Intermittent",3,0))</f>
      </c>
      <c r="W5" s="27">
        <f>SUM(R5:V5)</f>
      </c>
      <c r="X5" s="37">
        <f>IF(MIN(R5:V5)&gt;0,"Pass","Fail")</f>
      </c>
      <c r="Y5" s="37">
        <f>IFERROR(INDEX(Classes!$C$5:$C$104,MATCH($C5,Classes!$A$5:$A$104,0)),"")</f>
      </c>
      <c r="Z5" s="27">
        <f>IFERROR(INDEX(Classes!$E$5:$E$104,MATCH($C5,Classes!$A$5:$A$104,0)),0)</f>
      </c>
      <c r="AA5" s="37">
        <f>IFERROR(INDEX(Classes!$D$5:$D$104,MATCH($C5,Classes!$A$5:$A$104,0)),"")</f>
      </c>
      <c r="AB5" s="38">
        <f>IFERROR(INDEX('TCO comparison'!$X$5:$X$304,MATCH($A5,'TCO comparison'!$A$5:$A$304,0)),"")</f>
      </c>
      <c r="AC5" s="27">
        <f>IFERROR(INDEX('TCO comparison'!$N$5:$N$304,MATCH($A5,'TCO comparison'!$A$5:$A$304,0)),"")</f>
      </c>
      <c r="AD5" s="27">
        <f>IF(AB5="",0,IF(AB5&lt;='Screen parameters'!$B$12,15,IF(AB5&lt;='Screen parameters'!$B$13,10,IF(AB5&lt;=AC5,5,0))))</f>
      </c>
      <c r="AE5" s="27">
        <f>Z5+AD5</f>
      </c>
      <c r="AF5" s="37">
        <f>IF(AA5&lt;&gt;"Yes","Fail",IF(Z5=0,"Fail",IF(AD5=0,"Fail","Pass")))</f>
      </c>
      <c r="AG5" s="27">
        <f>IFERROR(INDEX(Facilities!$K$5:$K$104,MATCH($D5,Facilities!$A$5:$A$104,0)),0)</f>
      </c>
      <c r="AH5" s="37">
        <f>IFERROR(INDEX(Facilities!$L$5:$L$104,MATCH($D5,Facilities!$A$5:$A$104,0)),"Facility not listed on the Facilities sheet")</f>
      </c>
      <c r="AI5" s="27">
        <f>'Screen parameters'!$B$31</f>
      </c>
      <c r="AJ5" s="37">
        <f>'Screen parameters'!$B$32</f>
      </c>
      <c r="AK5" s="39">
        <f>W5+AE5+AG5+AI5</f>
      </c>
      <c r="AL5" s="27">
        <f>RANK(AK5,Units!$AK$5:$AK$304)</f>
      </c>
      <c r="AM5" s="40">
        <f>IF(X5&lt;&gt;"Pass","Not yet — revisit on conditions",IF(AF5&lt;&gt;"Pass","Not yet — revisit on conditions",IF(AH5&lt;&gt;"Pass","Ready once conditions are met",IF(AJ5&lt;&gt;"Pass","Ready once conditions are met","Ready now"))))</f>
      </c>
      <c r="AN5" s="41">
        <f>IF(R5&gt;0,"","Duty cycle: 95th-percentile day too close to derated winter range. ")&amp;IF(S5&gt;0,"","Duty cycle: does not return to base nightly. ")&amp;IF(T5&gt;0,"","Duty cycle: dwell too short to recharge overnight. ")&amp;IF(U5&gt;0,"","Duty cycle: storm or surge duty. ")&amp;IF(V5&gt;0,"","Duty cycle: sustained auxiliary load. ")&amp;IF(AA5="Yes","","Class economics: no model on a contract you can buy from. ")&amp;IF(Z5&gt;0,"","Class economics: class has no viable product yet. ")&amp;IF(AD5&gt;0,"","Class economics: no payback inside the planned service life. ")&amp;IF(AH5="Pass","","Electrical service: "&amp;AH5&amp;". ")&amp;IF(AJ5="Pass","","Shop readiness: "&amp;AJ5)</f>
      </c>
      <c r="AO5" s="28"/>
    </row>
    <row r="6" spans="1:41" x14ac:dyDescent="0.25">
      <c r="A6" s="24" t="s">
        <v>184</v>
      </c>
      <c r="B6" s="25" t="s">
        <v>185</v>
      </c>
      <c r="C6" s="25" t="s">
        <v>100</v>
      </c>
      <c r="D6" s="25" t="s">
        <v>130</v>
      </c>
      <c r="E6" s="34">
        <v>12000</v>
      </c>
      <c r="F6" s="34">
        <v>84</v>
      </c>
      <c r="G6" s="34">
        <v>240</v>
      </c>
      <c r="H6" s="35">
        <v>0.48</v>
      </c>
      <c r="I6" s="36">
        <v>12</v>
      </c>
      <c r="J6" s="25" t="s">
        <v>53</v>
      </c>
      <c r="K6" s="25" t="s">
        <v>182</v>
      </c>
      <c r="L6" s="25" t="s">
        <v>183</v>
      </c>
      <c r="M6" s="27">
        <f>ROUND($G6*(1-'Screen parameters'!$B$5),0)</f>
      </c>
      <c r="N6" s="32">
        <f>IFERROR($F6/M6,"")</f>
      </c>
      <c r="O6" s="31">
        <f>IFERROR($F6*$H6/'Screen parameters'!$B$16,"")</f>
      </c>
      <c r="P6" s="31">
        <f>IFERROR(O6/$I6,"")</f>
      </c>
      <c r="Q6" s="37">
        <f>IF(P6="","",IF(P6&gt;'Screen parameters'!$B$17,"DC fast — check demand charges","Level 2"))</f>
      </c>
      <c r="R6" s="27">
        <f>IF(N6="",0,IF(N6&lt;='Screen parameters'!$B$6,5,IF(N6&lt;='Screen parameters'!$B$7,3,0)))</f>
      </c>
      <c r="S6" s="27">
        <f>IF($J6="Yes",5,0)</f>
      </c>
      <c r="T6" s="27">
        <f>IF($I6&gt;='Screen parameters'!$B$8,5,IF($I6&gt;='Screen parameters'!$B$9,3,0))</f>
      </c>
      <c r="U6" s="27">
        <f>IF($K6="Routine",5,0)</f>
      </c>
      <c r="V6" s="27">
        <f>IF($L6="None",5,IF($L6="Intermittent",3,0))</f>
      </c>
      <c r="W6" s="27">
        <f>SUM(R6:V6)</f>
      </c>
      <c r="X6" s="37">
        <f>IF(MIN(R6:V6)&gt;0,"Pass","Fail")</f>
      </c>
      <c r="Y6" s="37">
        <f>IFERROR(INDEX(Classes!$C$5:$C$104,MATCH($C6,Classes!$A$5:$A$104,0)),"")</f>
      </c>
      <c r="Z6" s="27">
        <f>IFERROR(INDEX(Classes!$E$5:$E$104,MATCH($C6,Classes!$A$5:$A$104,0)),0)</f>
      </c>
      <c r="AA6" s="37">
        <f>IFERROR(INDEX(Classes!$D$5:$D$104,MATCH($C6,Classes!$A$5:$A$104,0)),"")</f>
      </c>
      <c r="AB6" s="38">
        <f>IFERROR(INDEX('TCO comparison'!$X$5:$X$304,MATCH($A6,'TCO comparison'!$A$5:$A$304,0)),"")</f>
      </c>
      <c r="AC6" s="27">
        <f>IFERROR(INDEX('TCO comparison'!$N$5:$N$304,MATCH($A6,'TCO comparison'!$A$5:$A$304,0)),"")</f>
      </c>
      <c r="AD6" s="27">
        <f>IF(AB6="",0,IF(AB6&lt;='Screen parameters'!$B$12,15,IF(AB6&lt;='Screen parameters'!$B$13,10,IF(AB6&lt;=AC6,5,0))))</f>
      </c>
      <c r="AE6" s="27">
        <f>Z6+AD6</f>
      </c>
      <c r="AF6" s="37">
        <f>IF(AA6&lt;&gt;"Yes","Fail",IF(Z6=0,"Fail",IF(AD6=0,"Fail","Pass")))</f>
      </c>
      <c r="AG6" s="27">
        <f>IFERROR(INDEX(Facilities!$K$5:$K$104,MATCH($D6,Facilities!$A$5:$A$104,0)),0)</f>
      </c>
      <c r="AH6" s="37">
        <f>IFERROR(INDEX(Facilities!$L$5:$L$104,MATCH($D6,Facilities!$A$5:$A$104,0)),"Facility not listed on the Facilities sheet")</f>
      </c>
      <c r="AI6" s="27">
        <f>'Screen parameters'!$B$31</f>
      </c>
      <c r="AJ6" s="37">
        <f>'Screen parameters'!$B$32</f>
      </c>
      <c r="AK6" s="39">
        <f>W6+AE6+AG6+AI6</f>
      </c>
      <c r="AL6" s="27">
        <f>RANK(AK6,Units!$AK$5:$AK$304)</f>
      </c>
      <c r="AM6" s="40">
        <f>IF(X6&lt;&gt;"Pass","Not yet — revisit on conditions",IF(AF6&lt;&gt;"Pass","Not yet — revisit on conditions",IF(AH6&lt;&gt;"Pass","Ready once conditions are met",IF(AJ6&lt;&gt;"Pass","Ready once conditions are met","Ready now"))))</f>
      </c>
      <c r="AN6" s="41">
        <f>IF(R6&gt;0,"","Duty cycle: 95th-percentile day too close to derated winter range. ")&amp;IF(S6&gt;0,"","Duty cycle: does not return to base nightly. ")&amp;IF(T6&gt;0,"","Duty cycle: dwell too short to recharge overnight. ")&amp;IF(U6&gt;0,"","Duty cycle: storm or surge duty. ")&amp;IF(V6&gt;0,"","Duty cycle: sustained auxiliary load. ")&amp;IF(AA6="Yes","","Class economics: no model on a contract you can buy from. ")&amp;IF(Z6&gt;0,"","Class economics: class has no viable product yet. ")&amp;IF(AD6&gt;0,"","Class economics: no payback inside the planned service life. ")&amp;IF(AH6="Pass","","Electrical service: "&amp;AH6&amp;". ")&amp;IF(AJ6="Pass","","Shop readiness: "&amp;AJ6)</f>
      </c>
      <c r="AO6" s="28"/>
    </row>
    <row r="7" spans="1:41" x14ac:dyDescent="0.25">
      <c r="A7" s="24" t="s">
        <v>186</v>
      </c>
      <c r="B7" s="25" t="s">
        <v>187</v>
      </c>
      <c r="C7" s="25" t="s">
        <v>100</v>
      </c>
      <c r="D7" s="25" t="s">
        <v>132</v>
      </c>
      <c r="E7" s="34">
        <v>3100</v>
      </c>
      <c r="F7" s="34">
        <v>44</v>
      </c>
      <c r="G7" s="34">
        <v>240</v>
      </c>
      <c r="H7" s="35">
        <v>0.48</v>
      </c>
      <c r="I7" s="36">
        <v>13</v>
      </c>
      <c r="J7" s="25" t="s">
        <v>53</v>
      </c>
      <c r="K7" s="25" t="s">
        <v>182</v>
      </c>
      <c r="L7" s="25" t="s">
        <v>183</v>
      </c>
      <c r="M7" s="27">
        <f>ROUND($G7*(1-'Screen parameters'!$B$5),0)</f>
      </c>
      <c r="N7" s="32">
        <f>IFERROR($F7/M7,"")</f>
      </c>
      <c r="O7" s="31">
        <f>IFERROR($F7*$H7/'Screen parameters'!$B$16,"")</f>
      </c>
      <c r="P7" s="31">
        <f>IFERROR(O7/$I7,"")</f>
      </c>
      <c r="Q7" s="37">
        <f>IF(P7="","",IF(P7&gt;'Screen parameters'!$B$17,"DC fast — check demand charges","Level 2"))</f>
      </c>
      <c r="R7" s="27">
        <f>IF(N7="",0,IF(N7&lt;='Screen parameters'!$B$6,5,IF(N7&lt;='Screen parameters'!$B$7,3,0)))</f>
      </c>
      <c r="S7" s="27">
        <f>IF($J7="Yes",5,0)</f>
      </c>
      <c r="T7" s="27">
        <f>IF($I7&gt;='Screen parameters'!$B$8,5,IF($I7&gt;='Screen parameters'!$B$9,3,0))</f>
      </c>
      <c r="U7" s="27">
        <f>IF($K7="Routine",5,0)</f>
      </c>
      <c r="V7" s="27">
        <f>IF($L7="None",5,IF($L7="Intermittent",3,0))</f>
      </c>
      <c r="W7" s="27">
        <f>SUM(R7:V7)</f>
      </c>
      <c r="X7" s="37">
        <f>IF(MIN(R7:V7)&gt;0,"Pass","Fail")</f>
      </c>
      <c r="Y7" s="37">
        <f>IFERROR(INDEX(Classes!$C$5:$C$104,MATCH($C7,Classes!$A$5:$A$104,0)),"")</f>
      </c>
      <c r="Z7" s="27">
        <f>IFERROR(INDEX(Classes!$E$5:$E$104,MATCH($C7,Classes!$A$5:$A$104,0)),0)</f>
      </c>
      <c r="AA7" s="37">
        <f>IFERROR(INDEX(Classes!$D$5:$D$104,MATCH($C7,Classes!$A$5:$A$104,0)),"")</f>
      </c>
      <c r="AB7" s="38">
        <f>IFERROR(INDEX('TCO comparison'!$X$5:$X$304,MATCH($A7,'TCO comparison'!$A$5:$A$304,0)),"")</f>
      </c>
      <c r="AC7" s="27">
        <f>IFERROR(INDEX('TCO comparison'!$N$5:$N$304,MATCH($A7,'TCO comparison'!$A$5:$A$304,0)),"")</f>
      </c>
      <c r="AD7" s="27">
        <f>IF(AB7="",0,IF(AB7&lt;='Screen parameters'!$B$12,15,IF(AB7&lt;='Screen parameters'!$B$13,10,IF(AB7&lt;=AC7,5,0))))</f>
      </c>
      <c r="AE7" s="27">
        <f>Z7+AD7</f>
      </c>
      <c r="AF7" s="37">
        <f>IF(AA7&lt;&gt;"Yes","Fail",IF(Z7=0,"Fail",IF(AD7=0,"Fail","Pass")))</f>
      </c>
      <c r="AG7" s="27">
        <f>IFERROR(INDEX(Facilities!$K$5:$K$104,MATCH($D7,Facilities!$A$5:$A$104,0)),0)</f>
      </c>
      <c r="AH7" s="37">
        <f>IFERROR(INDEX(Facilities!$L$5:$L$104,MATCH($D7,Facilities!$A$5:$A$104,0)),"Facility not listed on the Facilities sheet")</f>
      </c>
      <c r="AI7" s="27">
        <f>'Screen parameters'!$B$31</f>
      </c>
      <c r="AJ7" s="37">
        <f>'Screen parameters'!$B$32</f>
      </c>
      <c r="AK7" s="39">
        <f>W7+AE7+AG7+AI7</f>
      </c>
      <c r="AL7" s="27">
        <f>RANK(AK7,Units!$AK$5:$AK$304)</f>
      </c>
      <c r="AM7" s="40">
        <f>IF(X7&lt;&gt;"Pass","Not yet — revisit on conditions",IF(AF7&lt;&gt;"Pass","Not yet — revisit on conditions",IF(AH7&lt;&gt;"Pass","Ready once conditions are met",IF(AJ7&lt;&gt;"Pass","Ready once conditions are met","Ready now"))))</f>
      </c>
      <c r="AN7" s="41">
        <f>IF(R7&gt;0,"","Duty cycle: 95th-percentile day too close to derated winter range. ")&amp;IF(S7&gt;0,"","Duty cycle: does not return to base nightly. ")&amp;IF(T7&gt;0,"","Duty cycle: dwell too short to recharge overnight. ")&amp;IF(U7&gt;0,"","Duty cycle: storm or surge duty. ")&amp;IF(V7&gt;0,"","Duty cycle: sustained auxiliary load. ")&amp;IF(AA7="Yes","","Class economics: no model on a contract you can buy from. ")&amp;IF(Z7&gt;0,"","Class economics: class has no viable product yet. ")&amp;IF(AD7&gt;0,"","Class economics: no payback inside the planned service life. ")&amp;IF(AH7="Pass","","Electrical service: "&amp;AH7&amp;". ")&amp;IF(AJ7="Pass","","Shop readiness: "&amp;AJ7)</f>
      </c>
      <c r="AO7" s="28" t="s">
        <v>188</v>
      </c>
    </row>
    <row r="8" spans="1:41" x14ac:dyDescent="0.25">
      <c r="A8" s="24" t="s">
        <v>189</v>
      </c>
      <c r="B8" s="25" t="s">
        <v>190</v>
      </c>
      <c r="C8" s="25" t="s">
        <v>100</v>
      </c>
      <c r="D8" s="25" t="s">
        <v>130</v>
      </c>
      <c r="E8" s="34">
        <v>15000</v>
      </c>
      <c r="F8" s="34">
        <v>96</v>
      </c>
      <c r="G8" s="34">
        <v>240</v>
      </c>
      <c r="H8" s="35">
        <v>0.48</v>
      </c>
      <c r="I8" s="36">
        <v>6</v>
      </c>
      <c r="J8" s="25" t="s">
        <v>105</v>
      </c>
      <c r="K8" s="25" t="s">
        <v>182</v>
      </c>
      <c r="L8" s="25" t="s">
        <v>183</v>
      </c>
      <c r="M8" s="27">
        <f>ROUND($G8*(1-'Screen parameters'!$B$5),0)</f>
      </c>
      <c r="N8" s="32">
        <f>IFERROR($F8/M8,"")</f>
      </c>
      <c r="O8" s="31">
        <f>IFERROR($F8*$H8/'Screen parameters'!$B$16,"")</f>
      </c>
      <c r="P8" s="31">
        <f>IFERROR(O8/$I8,"")</f>
      </c>
      <c r="Q8" s="37">
        <f>IF(P8="","",IF(P8&gt;'Screen parameters'!$B$17,"DC fast — check demand charges","Level 2"))</f>
      </c>
      <c r="R8" s="27">
        <f>IF(N8="",0,IF(N8&lt;='Screen parameters'!$B$6,5,IF(N8&lt;='Screen parameters'!$B$7,3,0)))</f>
      </c>
      <c r="S8" s="27">
        <f>IF($J8="Yes",5,0)</f>
      </c>
      <c r="T8" s="27">
        <f>IF($I8&gt;='Screen parameters'!$B$8,5,IF($I8&gt;='Screen parameters'!$B$9,3,0))</f>
      </c>
      <c r="U8" s="27">
        <f>IF($K8="Routine",5,0)</f>
      </c>
      <c r="V8" s="27">
        <f>IF($L8="None",5,IF($L8="Intermittent",3,0))</f>
      </c>
      <c r="W8" s="27">
        <f>SUM(R8:V8)</f>
      </c>
      <c r="X8" s="37">
        <f>IF(MIN(R8:V8)&gt;0,"Pass","Fail")</f>
      </c>
      <c r="Y8" s="37">
        <f>IFERROR(INDEX(Classes!$C$5:$C$104,MATCH($C8,Classes!$A$5:$A$104,0)),"")</f>
      </c>
      <c r="Z8" s="27">
        <f>IFERROR(INDEX(Classes!$E$5:$E$104,MATCH($C8,Classes!$A$5:$A$104,0)),0)</f>
      </c>
      <c r="AA8" s="37">
        <f>IFERROR(INDEX(Classes!$D$5:$D$104,MATCH($C8,Classes!$A$5:$A$104,0)),"")</f>
      </c>
      <c r="AB8" s="38">
        <f>IFERROR(INDEX('TCO comparison'!$X$5:$X$304,MATCH($A8,'TCO comparison'!$A$5:$A$304,0)),"")</f>
      </c>
      <c r="AC8" s="27">
        <f>IFERROR(INDEX('TCO comparison'!$N$5:$N$304,MATCH($A8,'TCO comparison'!$A$5:$A$304,0)),"")</f>
      </c>
      <c r="AD8" s="27">
        <f>IF(AB8="",0,IF(AB8&lt;='Screen parameters'!$B$12,15,IF(AB8&lt;='Screen parameters'!$B$13,10,IF(AB8&lt;=AC8,5,0))))</f>
      </c>
      <c r="AE8" s="27">
        <f>Z8+AD8</f>
      </c>
      <c r="AF8" s="37">
        <f>IF(AA8&lt;&gt;"Yes","Fail",IF(Z8=0,"Fail",IF(AD8=0,"Fail","Pass")))</f>
      </c>
      <c r="AG8" s="27">
        <f>IFERROR(INDEX(Facilities!$K$5:$K$104,MATCH($D8,Facilities!$A$5:$A$104,0)),0)</f>
      </c>
      <c r="AH8" s="37">
        <f>IFERROR(INDEX(Facilities!$L$5:$L$104,MATCH($D8,Facilities!$A$5:$A$104,0)),"Facility not listed on the Facilities sheet")</f>
      </c>
      <c r="AI8" s="27">
        <f>'Screen parameters'!$B$31</f>
      </c>
      <c r="AJ8" s="37">
        <f>'Screen parameters'!$B$32</f>
      </c>
      <c r="AK8" s="39">
        <f>W8+AE8+AG8+AI8</f>
      </c>
      <c r="AL8" s="27">
        <f>RANK(AK8,Units!$AK$5:$AK$304)</f>
      </c>
      <c r="AM8" s="40">
        <f>IF(X8&lt;&gt;"Pass","Not yet — revisit on conditions",IF(AF8&lt;&gt;"Pass","Not yet — revisit on conditions",IF(AH8&lt;&gt;"Pass","Ready once conditions are met",IF(AJ8&lt;&gt;"Pass","Ready once conditions are met","Ready now"))))</f>
      </c>
      <c r="AN8" s="41">
        <f>IF(R8&gt;0,"","Duty cycle: 95th-percentile day too close to derated winter range. ")&amp;IF(S8&gt;0,"","Duty cycle: does not return to base nightly. ")&amp;IF(T8&gt;0,"","Duty cycle: dwell too short to recharge overnight. ")&amp;IF(U8&gt;0,"","Duty cycle: storm or surge duty. ")&amp;IF(V8&gt;0,"","Duty cycle: sustained auxiliary load. ")&amp;IF(AA8="Yes","","Class economics: no model on a contract you can buy from. ")&amp;IF(Z8&gt;0,"","Class economics: class has no viable product yet. ")&amp;IF(AD8&gt;0,"","Class economics: no payback inside the planned service life. ")&amp;IF(AH8="Pass","","Electrical service: "&amp;AH8&amp;". ")&amp;IF(AJ8="Pass","","Shop readiness: "&amp;AJ8)</f>
      </c>
      <c r="AO8" s="28" t="s">
        <v>191</v>
      </c>
    </row>
    <row r="9" spans="1:41" x14ac:dyDescent="0.25">
      <c r="A9" s="24" t="s">
        <v>192</v>
      </c>
      <c r="B9" s="25" t="s">
        <v>193</v>
      </c>
      <c r="C9" s="25" t="s">
        <v>110</v>
      </c>
      <c r="D9" s="25" t="s">
        <v>130</v>
      </c>
      <c r="E9" s="34">
        <v>7000</v>
      </c>
      <c r="F9" s="34">
        <v>120</v>
      </c>
      <c r="G9" s="34">
        <v>150</v>
      </c>
      <c r="H9" s="35">
        <v>2.2</v>
      </c>
      <c r="I9" s="36">
        <v>9</v>
      </c>
      <c r="J9" s="25" t="s">
        <v>53</v>
      </c>
      <c r="K9" s="25" t="s">
        <v>194</v>
      </c>
      <c r="L9" s="25" t="s">
        <v>195</v>
      </c>
      <c r="M9" s="27">
        <f>ROUND($G9*(1-'Screen parameters'!$B$5),0)</f>
      </c>
      <c r="N9" s="32">
        <f>IFERROR($F9/M9,"")</f>
      </c>
      <c r="O9" s="31">
        <f>IFERROR($F9*$H9/'Screen parameters'!$B$16,"")</f>
      </c>
      <c r="P9" s="31">
        <f>IFERROR(O9/$I9,"")</f>
      </c>
      <c r="Q9" s="37">
        <f>IF(P9="","",IF(P9&gt;'Screen parameters'!$B$17,"DC fast — check demand charges","Level 2"))</f>
      </c>
      <c r="R9" s="27">
        <f>IF(N9="",0,IF(N9&lt;='Screen parameters'!$B$6,5,IF(N9&lt;='Screen parameters'!$B$7,3,0)))</f>
      </c>
      <c r="S9" s="27">
        <f>IF($J9="Yes",5,0)</f>
      </c>
      <c r="T9" s="27">
        <f>IF($I9&gt;='Screen parameters'!$B$8,5,IF($I9&gt;='Screen parameters'!$B$9,3,0))</f>
      </c>
      <c r="U9" s="27">
        <f>IF($K9="Routine",5,0)</f>
      </c>
      <c r="V9" s="27">
        <f>IF($L9="None",5,IF($L9="Intermittent",3,0))</f>
      </c>
      <c r="W9" s="27">
        <f>SUM(R9:V9)</f>
      </c>
      <c r="X9" s="37">
        <f>IF(MIN(R9:V9)&gt;0,"Pass","Fail")</f>
      </c>
      <c r="Y9" s="37">
        <f>IFERROR(INDEX(Classes!$C$5:$C$104,MATCH($C9,Classes!$A$5:$A$104,0)),"")</f>
      </c>
      <c r="Z9" s="27">
        <f>IFERROR(INDEX(Classes!$E$5:$E$104,MATCH($C9,Classes!$A$5:$A$104,0)),0)</f>
      </c>
      <c r="AA9" s="37">
        <f>IFERROR(INDEX(Classes!$D$5:$D$104,MATCH($C9,Classes!$A$5:$A$104,0)),"")</f>
      </c>
      <c r="AB9" s="38">
        <f>IFERROR(INDEX('TCO comparison'!$X$5:$X$304,MATCH($A9,'TCO comparison'!$A$5:$A$304,0)),"")</f>
      </c>
      <c r="AC9" s="27">
        <f>IFERROR(INDEX('TCO comparison'!$N$5:$N$304,MATCH($A9,'TCO comparison'!$A$5:$A$304,0)),"")</f>
      </c>
      <c r="AD9" s="27">
        <f>IF(AB9="",0,IF(AB9&lt;='Screen parameters'!$B$12,15,IF(AB9&lt;='Screen parameters'!$B$13,10,IF(AB9&lt;=AC9,5,0))))</f>
      </c>
      <c r="AE9" s="27">
        <f>Z9+AD9</f>
      </c>
      <c r="AF9" s="37">
        <f>IF(AA9&lt;&gt;"Yes","Fail",IF(Z9=0,"Fail",IF(AD9=0,"Fail","Pass")))</f>
      </c>
      <c r="AG9" s="27">
        <f>IFERROR(INDEX(Facilities!$K$5:$K$104,MATCH($D9,Facilities!$A$5:$A$104,0)),0)</f>
      </c>
      <c r="AH9" s="37">
        <f>IFERROR(INDEX(Facilities!$L$5:$L$104,MATCH($D9,Facilities!$A$5:$A$104,0)),"Facility not listed on the Facilities sheet")</f>
      </c>
      <c r="AI9" s="27">
        <f>'Screen parameters'!$B$31</f>
      </c>
      <c r="AJ9" s="37">
        <f>'Screen parameters'!$B$32</f>
      </c>
      <c r="AK9" s="39">
        <f>W9+AE9+AG9+AI9</f>
      </c>
      <c r="AL9" s="27">
        <f>RANK(AK9,Units!$AK$5:$AK$304)</f>
      </c>
      <c r="AM9" s="40">
        <f>IF(X9&lt;&gt;"Pass","Not yet — revisit on conditions",IF(AF9&lt;&gt;"Pass","Not yet — revisit on conditions",IF(AH9&lt;&gt;"Pass","Ready once conditions are met",IF(AJ9&lt;&gt;"Pass","Ready once conditions are met","Ready now"))))</f>
      </c>
      <c r="AN9" s="41">
        <f>IF(R9&gt;0,"","Duty cycle: 95th-percentile day too close to derated winter range. ")&amp;IF(S9&gt;0,"","Duty cycle: does not return to base nightly. ")&amp;IF(T9&gt;0,"","Duty cycle: dwell too short to recharge overnight. ")&amp;IF(U9&gt;0,"","Duty cycle: storm or surge duty. ")&amp;IF(V9&gt;0,"","Duty cycle: sustained auxiliary load. ")&amp;IF(AA9="Yes","","Class economics: no model on a contract you can buy from. ")&amp;IF(Z9&gt;0,"","Class economics: class has no viable product yet. ")&amp;IF(AD9&gt;0,"","Class economics: no payback inside the planned service life. ")&amp;IF(AH9="Pass","","Electrical service: "&amp;AH9&amp;". ")&amp;IF(AJ9="Pass","","Shop readiness: "&amp;AJ9)</f>
      </c>
      <c r="AO9" s="28"/>
    </row>
    <row r="10" spans="1:41" x14ac:dyDescent="0.25">
      <c r="A10" s="24" t="s">
        <v>196</v>
      </c>
      <c r="B10" s="25" t="s">
        <v>197</v>
      </c>
      <c r="C10" s="25" t="s">
        <v>107</v>
      </c>
      <c r="D10" s="25" t="s">
        <v>134</v>
      </c>
      <c r="E10" s="34">
        <v>14000</v>
      </c>
      <c r="F10" s="34">
        <v>68</v>
      </c>
      <c r="G10" s="34">
        <v>200</v>
      </c>
      <c r="H10" s="35">
        <v>2.4</v>
      </c>
      <c r="I10" s="36">
        <v>12</v>
      </c>
      <c r="J10" s="25" t="s">
        <v>53</v>
      </c>
      <c r="K10" s="25" t="s">
        <v>182</v>
      </c>
      <c r="L10" s="25" t="s">
        <v>198</v>
      </c>
      <c r="M10" s="27">
        <f>ROUND($G10*(1-'Screen parameters'!$B$5),0)</f>
      </c>
      <c r="N10" s="32">
        <f>IFERROR($F10/M10,"")</f>
      </c>
      <c r="O10" s="31">
        <f>IFERROR($F10*$H10/'Screen parameters'!$B$16,"")</f>
      </c>
      <c r="P10" s="31">
        <f>IFERROR(O10/$I10,"")</f>
      </c>
      <c r="Q10" s="37">
        <f>IF(P10="","",IF(P10&gt;'Screen parameters'!$B$17,"DC fast — check demand charges","Level 2"))</f>
      </c>
      <c r="R10" s="27">
        <f>IF(N10="",0,IF(N10&lt;='Screen parameters'!$B$6,5,IF(N10&lt;='Screen parameters'!$B$7,3,0)))</f>
      </c>
      <c r="S10" s="27">
        <f>IF($J10="Yes",5,0)</f>
      </c>
      <c r="T10" s="27">
        <f>IF($I10&gt;='Screen parameters'!$B$8,5,IF($I10&gt;='Screen parameters'!$B$9,3,0))</f>
      </c>
      <c r="U10" s="27">
        <f>IF($K10="Routine",5,0)</f>
      </c>
      <c r="V10" s="27">
        <f>IF($L10="None",5,IF($L10="Intermittent",3,0))</f>
      </c>
      <c r="W10" s="27">
        <f>SUM(R10:V10)</f>
      </c>
      <c r="X10" s="37">
        <f>IF(MIN(R10:V10)&gt;0,"Pass","Fail")</f>
      </c>
      <c r="Y10" s="37">
        <f>IFERROR(INDEX(Classes!$C$5:$C$104,MATCH($C10,Classes!$A$5:$A$104,0)),"")</f>
      </c>
      <c r="Z10" s="27">
        <f>IFERROR(INDEX(Classes!$E$5:$E$104,MATCH($C10,Classes!$A$5:$A$104,0)),0)</f>
      </c>
      <c r="AA10" s="37">
        <f>IFERROR(INDEX(Classes!$D$5:$D$104,MATCH($C10,Classes!$A$5:$A$104,0)),"")</f>
      </c>
      <c r="AB10" s="38">
        <f>IFERROR(INDEX('TCO comparison'!$X$5:$X$304,MATCH($A10,'TCO comparison'!$A$5:$A$304,0)),"")</f>
      </c>
      <c r="AC10" s="27">
        <f>IFERROR(INDEX('TCO comparison'!$N$5:$N$304,MATCH($A10,'TCO comparison'!$A$5:$A$304,0)),"")</f>
      </c>
      <c r="AD10" s="27">
        <f>IF(AB10="",0,IF(AB10&lt;='Screen parameters'!$B$12,15,IF(AB10&lt;='Screen parameters'!$B$13,10,IF(AB10&lt;=AC10,5,0))))</f>
      </c>
      <c r="AE10" s="27">
        <f>Z10+AD10</f>
      </c>
      <c r="AF10" s="37">
        <f>IF(AA10&lt;&gt;"Yes","Fail",IF(Z10=0,"Fail",IF(AD10=0,"Fail","Pass")))</f>
      </c>
      <c r="AG10" s="27">
        <f>IFERROR(INDEX(Facilities!$K$5:$K$104,MATCH($D10,Facilities!$A$5:$A$104,0)),0)</f>
      </c>
      <c r="AH10" s="37">
        <f>IFERROR(INDEX(Facilities!$L$5:$L$104,MATCH($D10,Facilities!$A$5:$A$104,0)),"Facility not listed on the Facilities sheet")</f>
      </c>
      <c r="AI10" s="27">
        <f>'Screen parameters'!$B$31</f>
      </c>
      <c r="AJ10" s="37">
        <f>'Screen parameters'!$B$32</f>
      </c>
      <c r="AK10" s="39">
        <f>W10+AE10+AG10+AI10</f>
      </c>
      <c r="AL10" s="27">
        <f>RANK(AK10,Units!$AK$5:$AK$304)</f>
      </c>
      <c r="AM10" s="40">
        <f>IF(X10&lt;&gt;"Pass","Not yet — revisit on conditions",IF(AF10&lt;&gt;"Pass","Not yet — revisit on conditions",IF(AH10&lt;&gt;"Pass","Ready once conditions are met",IF(AJ10&lt;&gt;"Pass","Ready once conditions are met","Ready now"))))</f>
      </c>
      <c r="AN10" s="41">
        <f>IF(R10&gt;0,"","Duty cycle: 95th-percentile day too close to derated winter range. ")&amp;IF(S10&gt;0,"","Duty cycle: does not return to base nightly. ")&amp;IF(T10&gt;0,"","Duty cycle: dwell too short to recharge overnight. ")&amp;IF(U10&gt;0,"","Duty cycle: storm or surge duty. ")&amp;IF(V10&gt;0,"","Duty cycle: sustained auxiliary load. ")&amp;IF(AA10="Yes","","Class economics: no model on a contract you can buy from. ")&amp;IF(Z10&gt;0,"","Class economics: class has no viable product yet. ")&amp;IF(AD10&gt;0,"","Class economics: no payback inside the planned service life. ")&amp;IF(AH10="Pass","","Electrical service: "&amp;AH10&amp;". ")&amp;IF(AJ10="Pass","","Shop readiness: "&amp;AJ10)</f>
      </c>
      <c r="AO10" s="28" t="s">
        <v>199</v>
      </c>
    </row>
    <row r="11" spans="1:41" x14ac:dyDescent="0.25">
      <c r="A11" s="24" t="s">
        <v>200</v>
      </c>
      <c r="B11" s="25" t="s">
        <v>201</v>
      </c>
      <c r="C11" s="25" t="s">
        <v>113</v>
      </c>
      <c r="D11" s="25" t="s">
        <v>130</v>
      </c>
      <c r="E11" s="34">
        <v>4200</v>
      </c>
      <c r="F11" s="34">
        <v>52</v>
      </c>
      <c r="G11" s="34">
        <v>150</v>
      </c>
      <c r="H11" s="35">
        <v>1.6</v>
      </c>
      <c r="I11" s="36">
        <v>13</v>
      </c>
      <c r="J11" s="25" t="s">
        <v>53</v>
      </c>
      <c r="K11" s="25" t="s">
        <v>182</v>
      </c>
      <c r="L11" s="25" t="s">
        <v>195</v>
      </c>
      <c r="M11" s="27">
        <f>ROUND($G11*(1-'Screen parameters'!$B$5),0)</f>
      </c>
      <c r="N11" s="32">
        <f>IFERROR($F11/M11,"")</f>
      </c>
      <c r="O11" s="31">
        <f>IFERROR($F11*$H11/'Screen parameters'!$B$16,"")</f>
      </c>
      <c r="P11" s="31">
        <f>IFERROR(O11/$I11,"")</f>
      </c>
      <c r="Q11" s="37">
        <f>IF(P11="","",IF(P11&gt;'Screen parameters'!$B$17,"DC fast — check demand charges","Level 2"))</f>
      </c>
      <c r="R11" s="27">
        <f>IF(N11="",0,IF(N11&lt;='Screen parameters'!$B$6,5,IF(N11&lt;='Screen parameters'!$B$7,3,0)))</f>
      </c>
      <c r="S11" s="27">
        <f>IF($J11="Yes",5,0)</f>
      </c>
      <c r="T11" s="27">
        <f>IF($I11&gt;='Screen parameters'!$B$8,5,IF($I11&gt;='Screen parameters'!$B$9,3,0))</f>
      </c>
      <c r="U11" s="27">
        <f>IF($K11="Routine",5,0)</f>
      </c>
      <c r="V11" s="27">
        <f>IF($L11="None",5,IF($L11="Intermittent",3,0))</f>
      </c>
      <c r="W11" s="27">
        <f>SUM(R11:V11)</f>
      </c>
      <c r="X11" s="37">
        <f>IF(MIN(R11:V11)&gt;0,"Pass","Fail")</f>
      </c>
      <c r="Y11" s="37">
        <f>IFERROR(INDEX(Classes!$C$5:$C$104,MATCH($C11,Classes!$A$5:$A$104,0)),"")</f>
      </c>
      <c r="Z11" s="27">
        <f>IFERROR(INDEX(Classes!$E$5:$E$104,MATCH($C11,Classes!$A$5:$A$104,0)),0)</f>
      </c>
      <c r="AA11" s="37">
        <f>IFERROR(INDEX(Classes!$D$5:$D$104,MATCH($C11,Classes!$A$5:$A$104,0)),"")</f>
      </c>
      <c r="AB11" s="38">
        <f>IFERROR(INDEX('TCO comparison'!$X$5:$X$304,MATCH($A11,'TCO comparison'!$A$5:$A$304,0)),"")</f>
      </c>
      <c r="AC11" s="27">
        <f>IFERROR(INDEX('TCO comparison'!$N$5:$N$304,MATCH($A11,'TCO comparison'!$A$5:$A$304,0)),"")</f>
      </c>
      <c r="AD11" s="27">
        <f>IF(AB11="",0,IF(AB11&lt;='Screen parameters'!$B$12,15,IF(AB11&lt;='Screen parameters'!$B$13,10,IF(AB11&lt;=AC11,5,0))))</f>
      </c>
      <c r="AE11" s="27">
        <f>Z11+AD11</f>
      </c>
      <c r="AF11" s="37">
        <f>IF(AA11&lt;&gt;"Yes","Fail",IF(Z11=0,"Fail",IF(AD11=0,"Fail","Pass")))</f>
      </c>
      <c r="AG11" s="27">
        <f>IFERROR(INDEX(Facilities!$K$5:$K$104,MATCH($D11,Facilities!$A$5:$A$104,0)),0)</f>
      </c>
      <c r="AH11" s="37">
        <f>IFERROR(INDEX(Facilities!$L$5:$L$104,MATCH($D11,Facilities!$A$5:$A$104,0)),"Facility not listed on the Facilities sheet")</f>
      </c>
      <c r="AI11" s="27">
        <f>'Screen parameters'!$B$31</f>
      </c>
      <c r="AJ11" s="37">
        <f>'Screen parameters'!$B$32</f>
      </c>
      <c r="AK11" s="39">
        <f>W11+AE11+AG11+AI11</f>
      </c>
      <c r="AL11" s="27">
        <f>RANK(AK11,Units!$AK$5:$AK$304)</f>
      </c>
      <c r="AM11" s="40">
        <f>IF(X11&lt;&gt;"Pass","Not yet — revisit on conditions",IF(AF11&lt;&gt;"Pass","Not yet — revisit on conditions",IF(AH11&lt;&gt;"Pass","Ready once conditions are met",IF(AJ11&lt;&gt;"Pass","Ready once conditions are met","Ready now"))))</f>
      </c>
      <c r="AN11" s="41">
        <f>IF(R11&gt;0,"","Duty cycle: 95th-percentile day too close to derated winter range. ")&amp;IF(S11&gt;0,"","Duty cycle: does not return to base nightly. ")&amp;IF(T11&gt;0,"","Duty cycle: dwell too short to recharge overnight. ")&amp;IF(U11&gt;0,"","Duty cycle: storm or surge duty. ")&amp;IF(V11&gt;0,"","Duty cycle: sustained auxiliary load. ")&amp;IF(AA11="Yes","","Class economics: no model on a contract you can buy from. ")&amp;IF(Z11&gt;0,"","Class economics: class has no viable product yet. ")&amp;IF(AD11&gt;0,"","Class economics: no payback inside the planned service life. ")&amp;IF(AH11="Pass","","Electrical service: "&amp;AH11&amp;". ")&amp;IF(AJ11="Pass","","Shop readiness: "&amp;AJ11)</f>
      </c>
      <c r="AO11" s="28"/>
    </row>
    <row r="12" spans="1:41" x14ac:dyDescent="0.25">
      <c r="A12" s="24" t="s">
        <v>202</v>
      </c>
      <c r="B12" s="25" t="s">
        <v>203</v>
      </c>
      <c r="C12" s="25" t="s">
        <v>97</v>
      </c>
      <c r="D12" s="25" t="s">
        <v>132</v>
      </c>
      <c r="E12" s="34">
        <v>11000</v>
      </c>
      <c r="F12" s="34">
        <v>63</v>
      </c>
      <c r="G12" s="34">
        <v>190</v>
      </c>
      <c r="H12" s="35">
        <v>0.55</v>
      </c>
      <c r="I12" s="36">
        <v>11</v>
      </c>
      <c r="J12" s="25" t="s">
        <v>53</v>
      </c>
      <c r="K12" s="25" t="s">
        <v>182</v>
      </c>
      <c r="L12" s="25" t="s">
        <v>183</v>
      </c>
      <c r="M12" s="27">
        <f>ROUND($G12*(1-'Screen parameters'!$B$5),0)</f>
      </c>
      <c r="N12" s="32">
        <f>IFERROR($F12/M12,"")</f>
      </c>
      <c r="O12" s="31">
        <f>IFERROR($F12*$H12/'Screen parameters'!$B$16,"")</f>
      </c>
      <c r="P12" s="31">
        <f>IFERROR(O12/$I12,"")</f>
      </c>
      <c r="Q12" s="37">
        <f>IF(P12="","",IF(P12&gt;'Screen parameters'!$B$17,"DC fast — check demand charges","Level 2"))</f>
      </c>
      <c r="R12" s="27">
        <f>IF(N12="",0,IF(N12&lt;='Screen parameters'!$B$6,5,IF(N12&lt;='Screen parameters'!$B$7,3,0)))</f>
      </c>
      <c r="S12" s="27">
        <f>IF($J12="Yes",5,0)</f>
      </c>
      <c r="T12" s="27">
        <f>IF($I12&gt;='Screen parameters'!$B$8,5,IF($I12&gt;='Screen parameters'!$B$9,3,0))</f>
      </c>
      <c r="U12" s="27">
        <f>IF($K12="Routine",5,0)</f>
      </c>
      <c r="V12" s="27">
        <f>IF($L12="None",5,IF($L12="Intermittent",3,0))</f>
      </c>
      <c r="W12" s="27">
        <f>SUM(R12:V12)</f>
      </c>
      <c r="X12" s="37">
        <f>IF(MIN(R12:V12)&gt;0,"Pass","Fail")</f>
      </c>
      <c r="Y12" s="37">
        <f>IFERROR(INDEX(Classes!$C$5:$C$104,MATCH($C12,Classes!$A$5:$A$104,0)),"")</f>
      </c>
      <c r="Z12" s="27">
        <f>IFERROR(INDEX(Classes!$E$5:$E$104,MATCH($C12,Classes!$A$5:$A$104,0)),0)</f>
      </c>
      <c r="AA12" s="37">
        <f>IFERROR(INDEX(Classes!$D$5:$D$104,MATCH($C12,Classes!$A$5:$A$104,0)),"")</f>
      </c>
      <c r="AB12" s="38">
        <f>IFERROR(INDEX('TCO comparison'!$X$5:$X$304,MATCH($A12,'TCO comparison'!$A$5:$A$304,0)),"")</f>
      </c>
      <c r="AC12" s="27">
        <f>IFERROR(INDEX('TCO comparison'!$N$5:$N$304,MATCH($A12,'TCO comparison'!$A$5:$A$304,0)),"")</f>
      </c>
      <c r="AD12" s="27">
        <f>IF(AB12="",0,IF(AB12&lt;='Screen parameters'!$B$12,15,IF(AB12&lt;='Screen parameters'!$B$13,10,IF(AB12&lt;=AC12,5,0))))</f>
      </c>
      <c r="AE12" s="27">
        <f>Z12+AD12</f>
      </c>
      <c r="AF12" s="37">
        <f>IF(AA12&lt;&gt;"Yes","Fail",IF(Z12=0,"Fail",IF(AD12=0,"Fail","Pass")))</f>
      </c>
      <c r="AG12" s="27">
        <f>IFERROR(INDEX(Facilities!$K$5:$K$104,MATCH($D12,Facilities!$A$5:$A$104,0)),0)</f>
      </c>
      <c r="AH12" s="37">
        <f>IFERROR(INDEX(Facilities!$L$5:$L$104,MATCH($D12,Facilities!$A$5:$A$104,0)),"Facility not listed on the Facilities sheet")</f>
      </c>
      <c r="AI12" s="27">
        <f>'Screen parameters'!$B$31</f>
      </c>
      <c r="AJ12" s="37">
        <f>'Screen parameters'!$B$32</f>
      </c>
      <c r="AK12" s="39">
        <f>W12+AE12+AG12+AI12</f>
      </c>
      <c r="AL12" s="27">
        <f>RANK(AK12,Units!$AK$5:$AK$304)</f>
      </c>
      <c r="AM12" s="40">
        <f>IF(X12&lt;&gt;"Pass","Not yet — revisit on conditions",IF(AF12&lt;&gt;"Pass","Not yet — revisit on conditions",IF(AH12&lt;&gt;"Pass","Ready once conditions are met",IF(AJ12&lt;&gt;"Pass","Ready once conditions are met","Ready now"))))</f>
      </c>
      <c r="AN12" s="41">
        <f>IF(R12&gt;0,"","Duty cycle: 95th-percentile day too close to derated winter range. ")&amp;IF(S12&gt;0,"","Duty cycle: does not return to base nightly. ")&amp;IF(T12&gt;0,"","Duty cycle: dwell too short to recharge overnight. ")&amp;IF(U12&gt;0,"","Duty cycle: storm or surge duty. ")&amp;IF(V12&gt;0,"","Duty cycle: sustained auxiliary load. ")&amp;IF(AA12="Yes","","Class economics: no model on a contract you can buy from. ")&amp;IF(Z12&gt;0,"","Class economics: class has no viable product yet. ")&amp;IF(AD12&gt;0,"","Class economics: no payback inside the planned service life. ")&amp;IF(AH12="Pass","","Electrical service: "&amp;AH12&amp;". ")&amp;IF(AJ12="Pass","","Shop readiness: "&amp;AJ12)</f>
      </c>
      <c r="AO12" s="28"/>
    </row>
    <row r="13" spans="1:41" x14ac:dyDescent="0.25">
      <c r="A13" s="24" t="s">
        <v>204</v>
      </c>
      <c r="B13" s="25" t="s">
        <v>205</v>
      </c>
      <c r="C13" s="25" t="s">
        <v>97</v>
      </c>
      <c r="D13" s="25" t="s">
        <v>132</v>
      </c>
      <c r="E13" s="34">
        <v>9500</v>
      </c>
      <c r="F13" s="34">
        <v>58</v>
      </c>
      <c r="G13" s="34">
        <v>190</v>
      </c>
      <c r="H13" s="35">
        <v>0.55</v>
      </c>
      <c r="I13" s="36">
        <v>12</v>
      </c>
      <c r="J13" s="25" t="s">
        <v>53</v>
      </c>
      <c r="K13" s="25" t="s">
        <v>182</v>
      </c>
      <c r="L13" s="25" t="s">
        <v>183</v>
      </c>
      <c r="M13" s="27">
        <f>ROUND($G13*(1-'Screen parameters'!$B$5),0)</f>
      </c>
      <c r="N13" s="32">
        <f>IFERROR($F13/M13,"")</f>
      </c>
      <c r="O13" s="31">
        <f>IFERROR($F13*$H13/'Screen parameters'!$B$16,"")</f>
      </c>
      <c r="P13" s="31">
        <f>IFERROR(O13/$I13,"")</f>
      </c>
      <c r="Q13" s="37">
        <f>IF(P13="","",IF(P13&gt;'Screen parameters'!$B$17,"DC fast — check demand charges","Level 2"))</f>
      </c>
      <c r="R13" s="27">
        <f>IF(N13="",0,IF(N13&lt;='Screen parameters'!$B$6,5,IF(N13&lt;='Screen parameters'!$B$7,3,0)))</f>
      </c>
      <c r="S13" s="27">
        <f>IF($J13="Yes",5,0)</f>
      </c>
      <c r="T13" s="27">
        <f>IF($I13&gt;='Screen parameters'!$B$8,5,IF($I13&gt;='Screen parameters'!$B$9,3,0))</f>
      </c>
      <c r="U13" s="27">
        <f>IF($K13="Routine",5,0)</f>
      </c>
      <c r="V13" s="27">
        <f>IF($L13="None",5,IF($L13="Intermittent",3,0))</f>
      </c>
      <c r="W13" s="27">
        <f>SUM(R13:V13)</f>
      </c>
      <c r="X13" s="37">
        <f>IF(MIN(R13:V13)&gt;0,"Pass","Fail")</f>
      </c>
      <c r="Y13" s="37">
        <f>IFERROR(INDEX(Classes!$C$5:$C$104,MATCH($C13,Classes!$A$5:$A$104,0)),"")</f>
      </c>
      <c r="Z13" s="27">
        <f>IFERROR(INDEX(Classes!$E$5:$E$104,MATCH($C13,Classes!$A$5:$A$104,0)),0)</f>
      </c>
      <c r="AA13" s="37">
        <f>IFERROR(INDEX(Classes!$D$5:$D$104,MATCH($C13,Classes!$A$5:$A$104,0)),"")</f>
      </c>
      <c r="AB13" s="38">
        <f>IFERROR(INDEX('TCO comparison'!$X$5:$X$304,MATCH($A13,'TCO comparison'!$A$5:$A$304,0)),"")</f>
      </c>
      <c r="AC13" s="27">
        <f>IFERROR(INDEX('TCO comparison'!$N$5:$N$304,MATCH($A13,'TCO comparison'!$A$5:$A$304,0)),"")</f>
      </c>
      <c r="AD13" s="27">
        <f>IF(AB13="",0,IF(AB13&lt;='Screen parameters'!$B$12,15,IF(AB13&lt;='Screen parameters'!$B$13,10,IF(AB13&lt;=AC13,5,0))))</f>
      </c>
      <c r="AE13" s="27">
        <f>Z13+AD13</f>
      </c>
      <c r="AF13" s="37">
        <f>IF(AA13&lt;&gt;"Yes","Fail",IF(Z13=0,"Fail",IF(AD13=0,"Fail","Pass")))</f>
      </c>
      <c r="AG13" s="27">
        <f>IFERROR(INDEX(Facilities!$K$5:$K$104,MATCH($D13,Facilities!$A$5:$A$104,0)),0)</f>
      </c>
      <c r="AH13" s="37">
        <f>IFERROR(INDEX(Facilities!$L$5:$L$104,MATCH($D13,Facilities!$A$5:$A$104,0)),"Facility not listed on the Facilities sheet")</f>
      </c>
      <c r="AI13" s="27">
        <f>'Screen parameters'!$B$31</f>
      </c>
      <c r="AJ13" s="37">
        <f>'Screen parameters'!$B$32</f>
      </c>
      <c r="AK13" s="39">
        <f>W13+AE13+AG13+AI13</f>
      </c>
      <c r="AL13" s="27">
        <f>RANK(AK13,Units!$AK$5:$AK$304)</f>
      </c>
      <c r="AM13" s="40">
        <f>IF(X13&lt;&gt;"Pass","Not yet — revisit on conditions",IF(AF13&lt;&gt;"Pass","Not yet — revisit on conditions",IF(AH13&lt;&gt;"Pass","Ready once conditions are met",IF(AJ13&lt;&gt;"Pass","Ready once conditions are met","Ready now"))))</f>
      </c>
      <c r="AN13" s="41">
        <f>IF(R13&gt;0,"","Duty cycle: 95th-percentile day too close to derated winter range. ")&amp;IF(S13&gt;0,"","Duty cycle: does not return to base nightly. ")&amp;IF(T13&gt;0,"","Duty cycle: dwell too short to recharge overnight. ")&amp;IF(U13&gt;0,"","Duty cycle: storm or surge duty. ")&amp;IF(V13&gt;0,"","Duty cycle: sustained auxiliary load. ")&amp;IF(AA13="Yes","","Class economics: no model on a contract you can buy from. ")&amp;IF(Z13&gt;0,"","Class economics: class has no viable product yet. ")&amp;IF(AD13&gt;0,"","Class economics: no payback inside the planned service life. ")&amp;IF(AH13="Pass","","Electrical service: "&amp;AH13&amp;". ")&amp;IF(AJ13="Pass","","Shop readiness: "&amp;AJ13)</f>
      </c>
      <c r="AO13" s="28"/>
    </row>
    <row r="14" spans="1:41" x14ac:dyDescent="0.25">
      <c r="A14" s="24" t="s">
        <v>206</v>
      </c>
      <c r="B14" s="25" t="s">
        <v>207</v>
      </c>
      <c r="C14" s="25" t="s">
        <v>100</v>
      </c>
      <c r="D14" s="25" t="s">
        <v>136</v>
      </c>
      <c r="E14" s="34">
        <v>10000</v>
      </c>
      <c r="F14" s="34">
        <v>66</v>
      </c>
      <c r="G14" s="34">
        <v>240</v>
      </c>
      <c r="H14" s="35">
        <v>0.48</v>
      </c>
      <c r="I14" s="36">
        <v>10</v>
      </c>
      <c r="J14" s="25" t="s">
        <v>53</v>
      </c>
      <c r="K14" s="25" t="s">
        <v>182</v>
      </c>
      <c r="L14" s="25" t="s">
        <v>183</v>
      </c>
      <c r="M14" s="27">
        <f>ROUND($G14*(1-'Screen parameters'!$B$5),0)</f>
      </c>
      <c r="N14" s="32">
        <f>IFERROR($F14/M14,"")</f>
      </c>
      <c r="O14" s="31">
        <f>IFERROR($F14*$H14/'Screen parameters'!$B$16,"")</f>
      </c>
      <c r="P14" s="31">
        <f>IFERROR(O14/$I14,"")</f>
      </c>
      <c r="Q14" s="37">
        <f>IF(P14="","",IF(P14&gt;'Screen parameters'!$B$17,"DC fast — check demand charges","Level 2"))</f>
      </c>
      <c r="R14" s="27">
        <f>IF(N14="",0,IF(N14&lt;='Screen parameters'!$B$6,5,IF(N14&lt;='Screen parameters'!$B$7,3,0)))</f>
      </c>
      <c r="S14" s="27">
        <f>IF($J14="Yes",5,0)</f>
      </c>
      <c r="T14" s="27">
        <f>IF($I14&gt;='Screen parameters'!$B$8,5,IF($I14&gt;='Screen parameters'!$B$9,3,0))</f>
      </c>
      <c r="U14" s="27">
        <f>IF($K14="Routine",5,0)</f>
      </c>
      <c r="V14" s="27">
        <f>IF($L14="None",5,IF($L14="Intermittent",3,0))</f>
      </c>
      <c r="W14" s="27">
        <f>SUM(R14:V14)</f>
      </c>
      <c r="X14" s="37">
        <f>IF(MIN(R14:V14)&gt;0,"Pass","Fail")</f>
      </c>
      <c r="Y14" s="37">
        <f>IFERROR(INDEX(Classes!$C$5:$C$104,MATCH($C14,Classes!$A$5:$A$104,0)),"")</f>
      </c>
      <c r="Z14" s="27">
        <f>IFERROR(INDEX(Classes!$E$5:$E$104,MATCH($C14,Classes!$A$5:$A$104,0)),0)</f>
      </c>
      <c r="AA14" s="37">
        <f>IFERROR(INDEX(Classes!$D$5:$D$104,MATCH($C14,Classes!$A$5:$A$104,0)),"")</f>
      </c>
      <c r="AB14" s="38">
        <f>IFERROR(INDEX('TCO comparison'!$X$5:$X$304,MATCH($A14,'TCO comparison'!$A$5:$A$304,0)),"")</f>
      </c>
      <c r="AC14" s="27">
        <f>IFERROR(INDEX('TCO comparison'!$N$5:$N$304,MATCH($A14,'TCO comparison'!$A$5:$A$304,0)),"")</f>
      </c>
      <c r="AD14" s="27">
        <f>IF(AB14="",0,IF(AB14&lt;='Screen parameters'!$B$12,15,IF(AB14&lt;='Screen parameters'!$B$13,10,IF(AB14&lt;=AC14,5,0))))</f>
      </c>
      <c r="AE14" s="27">
        <f>Z14+AD14</f>
      </c>
      <c r="AF14" s="37">
        <f>IF(AA14&lt;&gt;"Yes","Fail",IF(Z14=0,"Fail",IF(AD14=0,"Fail","Pass")))</f>
      </c>
      <c r="AG14" s="27">
        <f>IFERROR(INDEX(Facilities!$K$5:$K$104,MATCH($D14,Facilities!$A$5:$A$104,0)),0)</f>
      </c>
      <c r="AH14" s="37">
        <f>IFERROR(INDEX(Facilities!$L$5:$L$104,MATCH($D14,Facilities!$A$5:$A$104,0)),"Facility not listed on the Facilities sheet")</f>
      </c>
      <c r="AI14" s="27">
        <f>'Screen parameters'!$B$31</f>
      </c>
      <c r="AJ14" s="37">
        <f>'Screen parameters'!$B$32</f>
      </c>
      <c r="AK14" s="39">
        <f>W14+AE14+AG14+AI14</f>
      </c>
      <c r="AL14" s="27">
        <f>RANK(AK14,Units!$AK$5:$AK$304)</f>
      </c>
      <c r="AM14" s="40">
        <f>IF(X14&lt;&gt;"Pass","Not yet — revisit on conditions",IF(AF14&lt;&gt;"Pass","Not yet — revisit on conditions",IF(AH14&lt;&gt;"Pass","Ready once conditions are met",IF(AJ14&lt;&gt;"Pass","Ready once conditions are met","Ready now"))))</f>
      </c>
      <c r="AN14" s="41">
        <f>IF(R14&gt;0,"","Duty cycle: 95th-percentile day too close to derated winter range. ")&amp;IF(S14&gt;0,"","Duty cycle: does not return to base nightly. ")&amp;IF(T14&gt;0,"","Duty cycle: dwell too short to recharge overnight. ")&amp;IF(U14&gt;0,"","Duty cycle: storm or surge duty. ")&amp;IF(V14&gt;0,"","Duty cycle: sustained auxiliary load. ")&amp;IF(AA14="Yes","","Class economics: no model on a contract you can buy from. ")&amp;IF(Z14&gt;0,"","Class economics: class has no viable product yet. ")&amp;IF(AD14&gt;0,"","Class economics: no payback inside the planned service life. ")&amp;IF(AH14="Pass","","Electrical service: "&amp;AH14&amp;". ")&amp;IF(AJ14="Pass","","Shop readiness: "&amp;AJ14)</f>
      </c>
      <c r="AO14" s="28"/>
    </row>
    <row r="16" ht="58" customHeight="1" spans="1:10" x14ac:dyDescent="0.25">
      <c r="A16" s="12" t="s">
        <v>208</v>
      </c>
      <c r="B16" s="12"/>
      <c r="C16" s="12"/>
      <c r="D16" s="12"/>
      <c r="E16" s="12"/>
      <c r="F16" s="12"/>
      <c r="G16" s="12"/>
      <c r="H16" s="12"/>
      <c r="I16" s="12"/>
      <c r="J16" s="12"/>
    </row>
  </sheetData>
  <mergeCells count="5">
    <mergeCell ref="A1:L1"/>
    <mergeCell ref="A2:C2"/>
    <mergeCell ref="D2:F2"/>
    <mergeCell ref="A3:AO3"/>
    <mergeCell ref="A16:J16"/>
  </mergeCells>
  <conditionalFormatting sqref="AM5:AM14">
    <cfRule type="cellIs" dxfId="1" priority="1" operator="equal">
      <formula>"Ready now"</formula>
    </cfRule>
    <cfRule type="cellIs" dxfId="2" priority="2" operator="equal">
      <formula>"Ready once conditions are met"</formula>
    </cfRule>
    <cfRule type="cellIs" dxfId="3" priority="3" operator="equal">
      <formula>"Not yet — revisit on conditions"</formula>
    </cfRule>
  </conditionalFormatting>
  <dataValidations count="6">
    <dataValidation type="list" allowBlank="1" showErrorMessage="1" errorTitle="Pick one" error="Allowed values: Yes,No" sqref="J10:J14">
      <formula1>"Yes,No"</formula1>
    </dataValidation>
    <dataValidation type="list" allowBlank="1" showErrorMessage="1" errorTitle="Pick one" error="Allowed values: Yes,No" sqref="J5:J14">
      <formula1>"Yes,No"</formula1>
    </dataValidation>
    <dataValidation type="list" allowBlank="1" showErrorMessage="1" errorTitle="Pick one" error="Allowed values: Routine,Surge" sqref="K10:K14">
      <formula1>"Routine,Surge"</formula1>
    </dataValidation>
    <dataValidation type="list" allowBlank="1" showErrorMessage="1" errorTitle="Pick one" error="Allowed values: Routine,Surge" sqref="K5:K14">
      <formula1>"Routine,Surge"</formula1>
    </dataValidation>
    <dataValidation type="list" allowBlank="1" showErrorMessage="1" errorTitle="Pick one" error="Allowed values: None,Intermittent,Sustained" sqref="L10:L14">
      <formula1>"None,Intermittent,Sustained"</formula1>
    </dataValidation>
    <dataValidation type="list" allowBlank="1" showErrorMessage="1" errorTitle="Pick one" error="Allowed values: None,Intermittent,Sustained" sqref="L5:L14">
      <formula1>"None,Intermittent,Sustained"</formula1>
    </dataValidation>
  </dataValidations>
  <pageMargins left="0.4" right="0.4" top="0.5" bottom="0.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6"/>
  <sheetViews>
    <sheetView workbookViewId="0">
      <pane xSplit="1" ySplit="4" topLeftCell="B5" activePane="bottomRight" state="frozen"/>
      <selection pane="bottomRight"/>
    </sheetView>
  </sheetViews>
  <sheetFormatPr defaultRowHeight="15" outlineLevelRow="0" outlineLevelCol="0" x14ac:dyDescent="55"/>
  <cols>
    <col min="1" max="1" width="12" customWidth="1"/>
    <col min="2" max="2" width="32" customWidth="1"/>
    <col min="3" max="3" width="12" customWidth="1"/>
    <col min="4" max="4" width="11" customWidth="1"/>
    <col min="5" max="5" width="12" customWidth="1"/>
    <col min="6" max="6" width="26" customWidth="1"/>
    <col min="7" max="7" width="12" customWidth="1"/>
    <col min="8" max="8" width="11" customWidth="1"/>
    <col min="9" max="13" width="12" customWidth="1"/>
    <col min="14" max="14" width="10" customWidth="1"/>
    <col min="15" max="15" width="11" customWidth="1"/>
    <col min="16" max="16" width="12" customWidth="1"/>
    <col min="17" max="21" width="11" customWidth="1"/>
    <col min="22" max="23" width="12" customWidth="1"/>
    <col min="24" max="24" width="11" customWidth="1"/>
    <col min="25" max="25" width="13" customWidth="1"/>
    <col min="26" max="26" width="46" customWidth="1"/>
  </cols>
  <sheetData>
    <row r="1" ht="26" customHeight="1" spans="1:12" x14ac:dyDescent="0.25">
      <c r="A1" s="22">
        <f>"Screening on a "&amp;TEXT('Screen parameters'!$B$5,"0%")&amp;" winter derate, a duty-cycle test at "&amp;TEXT('Screen parameters'!$B$7,"0%")&amp;" of derated range, and delivered electricity at "&amp;TEXT('Screen parameters'!$B$37,"$0.0000")&amp;"/kWh with no demand charge in it. Change these on Screen parameters, not here."</f>
      </c>
      <c r="B1" s="22"/>
      <c r="C1" s="22"/>
      <c r="D1" s="22"/>
      <c r="E1" s="22"/>
      <c r="F1" s="22"/>
      <c r="G1" s="22"/>
      <c r="H1" s="22"/>
      <c r="I1" s="22"/>
      <c r="J1" s="22"/>
      <c r="K1" s="22"/>
      <c r="L1" s="22"/>
    </row>
    <row r="2" spans="1:6" x14ac:dyDescent="0.25">
      <c r="A2" s="3" t="s">
        <v>2</v>
      </c>
      <c r="B2" s="3"/>
      <c r="C2" s="3"/>
      <c r="D2" s="4" t="s">
        <v>3</v>
      </c>
      <c r="E2" s="4"/>
      <c r="F2" s="4"/>
    </row>
    <row r="3" spans="1:26" x14ac:dyDescent="0.25">
      <c r="A3" s="23" t="s">
        <v>87</v>
      </c>
      <c r="B3" s="23"/>
      <c r="C3" s="23"/>
      <c r="D3" s="23"/>
      <c r="E3" s="23"/>
      <c r="F3" s="23"/>
      <c r="G3" s="23"/>
      <c r="H3" s="23"/>
      <c r="I3" s="23"/>
      <c r="J3" s="23"/>
      <c r="K3" s="23"/>
      <c r="L3" s="23"/>
      <c r="M3" s="23"/>
      <c r="N3" s="23"/>
      <c r="O3" s="23"/>
      <c r="P3" s="23"/>
      <c r="Q3" s="23"/>
      <c r="R3" s="23"/>
      <c r="S3" s="23"/>
      <c r="T3" s="23"/>
      <c r="U3" s="23"/>
      <c r="V3" s="23"/>
      <c r="W3" s="23"/>
      <c r="X3" s="23"/>
      <c r="Y3" s="23"/>
      <c r="Z3" s="23"/>
    </row>
    <row r="4" ht="30" customHeight="1" spans="1:26" x14ac:dyDescent="0.25">
      <c r="A4" s="9" t="s">
        <v>209</v>
      </c>
      <c r="B4" s="9" t="s">
        <v>210</v>
      </c>
      <c r="C4" s="9" t="s">
        <v>211</v>
      </c>
      <c r="D4" s="9" t="s">
        <v>212</v>
      </c>
      <c r="E4" s="9" t="s">
        <v>213</v>
      </c>
      <c r="F4" s="9" t="s">
        <v>214</v>
      </c>
      <c r="G4" s="9" t="s">
        <v>215</v>
      </c>
      <c r="H4" s="9" t="s">
        <v>216</v>
      </c>
      <c r="I4" s="9" t="s">
        <v>217</v>
      </c>
      <c r="J4" s="9" t="s">
        <v>218</v>
      </c>
      <c r="K4" s="9" t="s">
        <v>219</v>
      </c>
      <c r="L4" s="9" t="s">
        <v>220</v>
      </c>
      <c r="M4" s="9" t="s">
        <v>221</v>
      </c>
      <c r="N4" s="9" t="s">
        <v>222</v>
      </c>
      <c r="O4" s="9" t="s">
        <v>223</v>
      </c>
      <c r="P4" s="9" t="s">
        <v>224</v>
      </c>
      <c r="Q4" s="9" t="s">
        <v>225</v>
      </c>
      <c r="R4" s="9" t="s">
        <v>226</v>
      </c>
      <c r="S4" s="9" t="s">
        <v>227</v>
      </c>
      <c r="T4" s="9" t="s">
        <v>228</v>
      </c>
      <c r="U4" s="9" t="s">
        <v>229</v>
      </c>
      <c r="V4" s="9" t="s">
        <v>230</v>
      </c>
      <c r="W4" s="9" t="s">
        <v>231</v>
      </c>
      <c r="X4" s="9" t="s">
        <v>232</v>
      </c>
      <c r="Y4" s="9" t="s">
        <v>233</v>
      </c>
      <c r="Z4" s="9" t="s">
        <v>234</v>
      </c>
    </row>
    <row r="5" spans="1:26" x14ac:dyDescent="0.25">
      <c r="A5" s="24" t="s">
        <v>180</v>
      </c>
      <c r="B5" s="37">
        <f>IFERROR(INDEX(Units!$B$5:$B$304,MATCH($A5,Units!$A$5:$A$304,0)),"")</f>
      </c>
      <c r="C5" s="37">
        <f>IFERROR(INDEX(Units!$C$5:$C$304,MATCH($A5,Units!$A$5:$A$304,0)),"")</f>
      </c>
      <c r="D5" s="27">
        <f>IFERROR(INDEX(Units!$E$5:$E$304,MATCH($A5,Units!$A$5:$A$304,0)),"")</f>
      </c>
      <c r="E5" s="42">
        <f>IFERROR(INDEX(Units!$H$5:$H$304,MATCH($A5,Units!$A$5:$A$304,0)),"")</f>
      </c>
      <c r="F5" s="37">
        <f>IFERROR(INDEX(Units!$Q$5:$Q$304,MATCH($A5,Units!$A$5:$A$304,0)),"")</f>
      </c>
      <c r="G5" s="25" t="s">
        <v>235</v>
      </c>
      <c r="H5" s="36">
        <v>24</v>
      </c>
      <c r="I5" s="43">
        <v>0.101</v>
      </c>
      <c r="J5" s="34">
        <v>34000</v>
      </c>
      <c r="K5" s="34">
        <v>42000</v>
      </c>
      <c r="L5" s="43">
        <v>0.061</v>
      </c>
      <c r="M5" s="34">
        <v>0</v>
      </c>
      <c r="N5" s="34">
        <v>8</v>
      </c>
      <c r="O5" s="36">
        <v>1</v>
      </c>
      <c r="P5" s="27">
        <f>IF(F5="Level 2",$O5*'Screen parameters'!$B$40,IF(F5="","",$O5*'Screen parameters'!$B$41))</f>
      </c>
      <c r="Q5" s="44">
        <f>IFERROR(IF($G5="Diesel",'Screen parameters'!$B$35,'Screen parameters'!$B$36)/$H5,"")</f>
      </c>
      <c r="R5" s="44">
        <f>IFERROR(E5*'Screen parameters'!$B$37/'Screen parameters'!$B$16,"")</f>
      </c>
      <c r="S5" s="44">
        <f>IFERROR(Q5-R5,"")</f>
      </c>
      <c r="T5" s="44">
        <f>IFERROR($I5-$L5,"")</f>
      </c>
      <c r="U5" s="44">
        <f>IFERROR(S5+T5,"")</f>
      </c>
      <c r="V5" s="38">
        <f>IFERROR(U5*D5,"")</f>
      </c>
      <c r="W5" s="27">
        <f>IFERROR($K5-$M5+P5-$J5,"")</f>
      </c>
      <c r="X5" s="45">
        <f>IF(V5="","",IF(V5&lt;=0,"",IF(W5&lt;=0,0,IFERROR(W5/V5,""))))</f>
      </c>
      <c r="Y5" s="27">
        <f>IFERROR(V5*$N5-W5,"")</f>
      </c>
      <c r="Z5" s="28" t="s">
        <v>236</v>
      </c>
    </row>
    <row r="6" spans="1:26" x14ac:dyDescent="0.25">
      <c r="A6" s="24" t="s">
        <v>184</v>
      </c>
      <c r="B6" s="37">
        <f>IFERROR(INDEX(Units!$B$5:$B$304,MATCH($A6,Units!$A$5:$A$304,0)),"")</f>
      </c>
      <c r="C6" s="37">
        <f>IFERROR(INDEX(Units!$C$5:$C$304,MATCH($A6,Units!$A$5:$A$304,0)),"")</f>
      </c>
      <c r="D6" s="27">
        <f>IFERROR(INDEX(Units!$E$5:$E$304,MATCH($A6,Units!$A$5:$A$304,0)),"")</f>
      </c>
      <c r="E6" s="42">
        <f>IFERROR(INDEX(Units!$H$5:$H$304,MATCH($A6,Units!$A$5:$A$304,0)),"")</f>
      </c>
      <c r="F6" s="37">
        <f>IFERROR(INDEX(Units!$Q$5:$Q$304,MATCH($A6,Units!$A$5:$A$304,0)),"")</f>
      </c>
      <c r="G6" s="25" t="s">
        <v>235</v>
      </c>
      <c r="H6" s="36">
        <v>17</v>
      </c>
      <c r="I6" s="43">
        <v>0.101</v>
      </c>
      <c r="J6" s="34">
        <v>52000</v>
      </c>
      <c r="K6" s="34">
        <v>63000</v>
      </c>
      <c r="L6" s="43">
        <v>0.061</v>
      </c>
      <c r="M6" s="34">
        <v>0</v>
      </c>
      <c r="N6" s="34">
        <v>8</v>
      </c>
      <c r="O6" s="36">
        <v>1</v>
      </c>
      <c r="P6" s="27">
        <f>IF(F6="Level 2",$O6*'Screen parameters'!$B$40,IF(F6="","",$O6*'Screen parameters'!$B$41))</f>
      </c>
      <c r="Q6" s="44">
        <f>IFERROR(IF($G6="Diesel",'Screen parameters'!$B$35,'Screen parameters'!$B$36)/$H6,"")</f>
      </c>
      <c r="R6" s="44">
        <f>IFERROR(E6*'Screen parameters'!$B$37/'Screen parameters'!$B$16,"")</f>
      </c>
      <c r="S6" s="44">
        <f>IFERROR(Q6-R6,"")</f>
      </c>
      <c r="T6" s="44">
        <f>IFERROR($I6-$L6,"")</f>
      </c>
      <c r="U6" s="44">
        <f>IFERROR(S6+T6,"")</f>
      </c>
      <c r="V6" s="38">
        <f>IFERROR(U6*D6,"")</f>
      </c>
      <c r="W6" s="27">
        <f>IFERROR($K6-$M6+P6-$J6,"")</f>
      </c>
      <c r="X6" s="45">
        <f>IF(V6="","",IF(V6&lt;=0,"",IF(W6&lt;=0,0,IFERROR(W6/V6,""))))</f>
      </c>
      <c r="Y6" s="27">
        <f>IFERROR(V6*$N6-W6,"")</f>
      </c>
      <c r="Z6" s="28" t="s">
        <v>237</v>
      </c>
    </row>
    <row r="7" spans="1:26" x14ac:dyDescent="0.25">
      <c r="A7" s="24" t="s">
        <v>186</v>
      </c>
      <c r="B7" s="37">
        <f>IFERROR(INDEX(Units!$B$5:$B$304,MATCH($A7,Units!$A$5:$A$304,0)),"")</f>
      </c>
      <c r="C7" s="37">
        <f>IFERROR(INDEX(Units!$C$5:$C$304,MATCH($A7,Units!$A$5:$A$304,0)),"")</f>
      </c>
      <c r="D7" s="27">
        <f>IFERROR(INDEX(Units!$E$5:$E$304,MATCH($A7,Units!$A$5:$A$304,0)),"")</f>
      </c>
      <c r="E7" s="42">
        <f>IFERROR(INDEX(Units!$H$5:$H$304,MATCH($A7,Units!$A$5:$A$304,0)),"")</f>
      </c>
      <c r="F7" s="37">
        <f>IFERROR(INDEX(Units!$Q$5:$Q$304,MATCH($A7,Units!$A$5:$A$304,0)),"")</f>
      </c>
      <c r="G7" s="25" t="s">
        <v>235</v>
      </c>
      <c r="H7" s="36">
        <v>17</v>
      </c>
      <c r="I7" s="43">
        <v>0.101</v>
      </c>
      <c r="J7" s="34">
        <v>52000</v>
      </c>
      <c r="K7" s="34">
        <v>63000</v>
      </c>
      <c r="L7" s="43">
        <v>0.061</v>
      </c>
      <c r="M7" s="34">
        <v>0</v>
      </c>
      <c r="N7" s="34">
        <v>8</v>
      </c>
      <c r="O7" s="36">
        <v>1</v>
      </c>
      <c r="P7" s="27">
        <f>IF(F7="Level 2",$O7*'Screen parameters'!$B$40,IF(F7="","",$O7*'Screen parameters'!$B$41))</f>
      </c>
      <c r="Q7" s="44">
        <f>IFERROR(IF($G7="Diesel",'Screen parameters'!$B$35,'Screen parameters'!$B$36)/$H7,"")</f>
      </c>
      <c r="R7" s="44">
        <f>IFERROR(E7*'Screen parameters'!$B$37/'Screen parameters'!$B$16,"")</f>
      </c>
      <c r="S7" s="44">
        <f>IFERROR(Q7-R7,"")</f>
      </c>
      <c r="T7" s="44">
        <f>IFERROR($I7-$L7,"")</f>
      </c>
      <c r="U7" s="44">
        <f>IFERROR(S7+T7,"")</f>
      </c>
      <c r="V7" s="38">
        <f>IFERROR(U7*D7,"")</f>
      </c>
      <c r="W7" s="27">
        <f>IFERROR($K7-$M7+P7-$J7,"")</f>
      </c>
      <c r="X7" s="45">
        <f>IF(V7="","",IF(V7&lt;=0,"",IF(W7&lt;=0,0,IFERROR(W7/V7,""))))</f>
      </c>
      <c r="Y7" s="27">
        <f>IFERROR(V7*$N7-W7,"")</f>
      </c>
      <c r="Z7" s="28" t="s">
        <v>238</v>
      </c>
    </row>
    <row r="8" spans="1:26" x14ac:dyDescent="0.25">
      <c r="A8" s="24" t="s">
        <v>189</v>
      </c>
      <c r="B8" s="37">
        <f>IFERROR(INDEX(Units!$B$5:$B$304,MATCH($A8,Units!$A$5:$A$304,0)),"")</f>
      </c>
      <c r="C8" s="37">
        <f>IFERROR(INDEX(Units!$C$5:$C$304,MATCH($A8,Units!$A$5:$A$304,0)),"")</f>
      </c>
      <c r="D8" s="27">
        <f>IFERROR(INDEX(Units!$E$5:$E$304,MATCH($A8,Units!$A$5:$A$304,0)),"")</f>
      </c>
      <c r="E8" s="42">
        <f>IFERROR(INDEX(Units!$H$5:$H$304,MATCH($A8,Units!$A$5:$A$304,0)),"")</f>
      </c>
      <c r="F8" s="37">
        <f>IFERROR(INDEX(Units!$Q$5:$Q$304,MATCH($A8,Units!$A$5:$A$304,0)),"")</f>
      </c>
      <c r="G8" s="25" t="s">
        <v>235</v>
      </c>
      <c r="H8" s="36">
        <v>17</v>
      </c>
      <c r="I8" s="43">
        <v>0.101</v>
      </c>
      <c r="J8" s="34">
        <v>52000</v>
      </c>
      <c r="K8" s="34">
        <v>63000</v>
      </c>
      <c r="L8" s="43">
        <v>0.061</v>
      </c>
      <c r="M8" s="34">
        <v>0</v>
      </c>
      <c r="N8" s="34">
        <v>8</v>
      </c>
      <c r="O8" s="36">
        <v>1</v>
      </c>
      <c r="P8" s="27">
        <f>IF(F8="Level 2",$O8*'Screen parameters'!$B$40,IF(F8="","",$O8*'Screen parameters'!$B$41))</f>
      </c>
      <c r="Q8" s="44">
        <f>IFERROR(IF($G8="Diesel",'Screen parameters'!$B$35,'Screen parameters'!$B$36)/$H8,"")</f>
      </c>
      <c r="R8" s="44">
        <f>IFERROR(E8*'Screen parameters'!$B$37/'Screen parameters'!$B$16,"")</f>
      </c>
      <c r="S8" s="44">
        <f>IFERROR(Q8-R8,"")</f>
      </c>
      <c r="T8" s="44">
        <f>IFERROR($I8-$L8,"")</f>
      </c>
      <c r="U8" s="44">
        <f>IFERROR(S8+T8,"")</f>
      </c>
      <c r="V8" s="38">
        <f>IFERROR(U8*D8,"")</f>
      </c>
      <c r="W8" s="27">
        <f>IFERROR($K8-$M8+P8-$J8,"")</f>
      </c>
      <c r="X8" s="45">
        <f>IF(V8="","",IF(V8&lt;=0,"",IF(W8&lt;=0,0,IFERROR(W8/V8,""))))</f>
      </c>
      <c r="Y8" s="27">
        <f>IFERROR(V8*$N8-W8,"")</f>
      </c>
      <c r="Z8" s="28" t="s">
        <v>239</v>
      </c>
    </row>
    <row r="9" spans="1:26" x14ac:dyDescent="0.25">
      <c r="A9" s="24" t="s">
        <v>192</v>
      </c>
      <c r="B9" s="37">
        <f>IFERROR(INDEX(Units!$B$5:$B$304,MATCH($A9,Units!$A$5:$A$304,0)),"")</f>
      </c>
      <c r="C9" s="37">
        <f>IFERROR(INDEX(Units!$C$5:$C$304,MATCH($A9,Units!$A$5:$A$304,0)),"")</f>
      </c>
      <c r="D9" s="27">
        <f>IFERROR(INDEX(Units!$E$5:$E$304,MATCH($A9,Units!$A$5:$A$304,0)),"")</f>
      </c>
      <c r="E9" s="42">
        <f>IFERROR(INDEX(Units!$H$5:$H$304,MATCH($A9,Units!$A$5:$A$304,0)),"")</f>
      </c>
      <c r="F9" s="37">
        <f>IFERROR(INDEX(Units!$Q$5:$Q$304,MATCH($A9,Units!$A$5:$A$304,0)),"")</f>
      </c>
      <c r="G9" s="25" t="s">
        <v>240</v>
      </c>
      <c r="H9" s="36">
        <v>6.5</v>
      </c>
      <c r="I9" s="43">
        <v>0.62</v>
      </c>
      <c r="J9" s="34">
        <v>215000</v>
      </c>
      <c r="K9" s="34">
        <v>560000</v>
      </c>
      <c r="L9" s="43">
        <v>0.48</v>
      </c>
      <c r="M9" s="34">
        <v>100000</v>
      </c>
      <c r="N9" s="34">
        <v>12</v>
      </c>
      <c r="O9" s="36">
        <v>1</v>
      </c>
      <c r="P9" s="27">
        <f>IF(F9="Level 2",$O9*'Screen parameters'!$B$40,IF(F9="","",$O9*'Screen parameters'!$B$41))</f>
      </c>
      <c r="Q9" s="44">
        <f>IFERROR(IF($G9="Diesel",'Screen parameters'!$B$35,'Screen parameters'!$B$36)/$H9,"")</f>
      </c>
      <c r="R9" s="44">
        <f>IFERROR(E9*'Screen parameters'!$B$37/'Screen parameters'!$B$16,"")</f>
      </c>
      <c r="S9" s="44">
        <f>IFERROR(Q9-R9,"")</f>
      </c>
      <c r="T9" s="44">
        <f>IFERROR($I9-$L9,"")</f>
      </c>
      <c r="U9" s="44">
        <f>IFERROR(S9+T9,"")</f>
      </c>
      <c r="V9" s="38">
        <f>IFERROR(U9*D9,"")</f>
      </c>
      <c r="W9" s="27">
        <f>IFERROR($K9-$M9+P9-$J9,"")</f>
      </c>
      <c r="X9" s="45">
        <f>IF(V9="","",IF(V9&lt;=0,"",IF(W9&lt;=0,0,IFERROR(W9/V9,""))))</f>
      </c>
      <c r="Y9" s="27">
        <f>IFERROR(V9*$N9-W9,"")</f>
      </c>
      <c r="Z9" s="28" t="s">
        <v>241</v>
      </c>
    </row>
    <row r="10" spans="1:26" x14ac:dyDescent="0.25">
      <c r="A10" s="24" t="s">
        <v>196</v>
      </c>
      <c r="B10" s="37">
        <f>IFERROR(INDEX(Units!$B$5:$B$304,MATCH($A10,Units!$A$5:$A$304,0)),"")</f>
      </c>
      <c r="C10" s="37">
        <f>IFERROR(INDEX(Units!$C$5:$C$304,MATCH($A10,Units!$A$5:$A$304,0)),"")</f>
      </c>
      <c r="D10" s="27">
        <f>IFERROR(INDEX(Units!$E$5:$E$304,MATCH($A10,Units!$A$5:$A$304,0)),"")</f>
      </c>
      <c r="E10" s="42">
        <f>IFERROR(INDEX(Units!$H$5:$H$304,MATCH($A10,Units!$A$5:$A$304,0)),"")</f>
      </c>
      <c r="F10" s="37">
        <f>IFERROR(INDEX(Units!$Q$5:$Q$304,MATCH($A10,Units!$A$5:$A$304,0)),"")</f>
      </c>
      <c r="G10" s="25" t="s">
        <v>240</v>
      </c>
      <c r="H10" s="36">
        <v>2.8</v>
      </c>
      <c r="I10" s="43">
        <v>0.78</v>
      </c>
      <c r="J10" s="34">
        <v>340000</v>
      </c>
      <c r="K10" s="34">
        <v>700000</v>
      </c>
      <c r="L10" s="43">
        <v>0.62</v>
      </c>
      <c r="M10" s="34">
        <v>100000</v>
      </c>
      <c r="N10" s="34">
        <v>12</v>
      </c>
      <c r="O10" s="36">
        <v>1</v>
      </c>
      <c r="P10" s="27">
        <f>IF(F10="Level 2",$O10*'Screen parameters'!$B$40,IF(F10="","",$O10*'Screen parameters'!$B$41))</f>
      </c>
      <c r="Q10" s="44">
        <f>IFERROR(IF($G10="Diesel",'Screen parameters'!$B$35,'Screen parameters'!$B$36)/$H10,"")</f>
      </c>
      <c r="R10" s="44">
        <f>IFERROR(E10*'Screen parameters'!$B$37/'Screen parameters'!$B$16,"")</f>
      </c>
      <c r="S10" s="44">
        <f>IFERROR(Q10-R10,"")</f>
      </c>
      <c r="T10" s="44">
        <f>IFERROR($I10-$L10,"")</f>
      </c>
      <c r="U10" s="44">
        <f>IFERROR(S10+T10,"")</f>
      </c>
      <c r="V10" s="38">
        <f>IFERROR(U10*D10,"")</f>
      </c>
      <c r="W10" s="27">
        <f>IFERROR($K10-$M10+P10-$J10,"")</f>
      </c>
      <c r="X10" s="45">
        <f>IF(V10="","",IF(V10&lt;=0,"",IF(W10&lt;=0,0,IFERROR(W10/V10,""))))</f>
      </c>
      <c r="Y10" s="27">
        <f>IFERROR(V10*$N10-W10,"")</f>
      </c>
      <c r="Z10" s="28" t="s">
        <v>242</v>
      </c>
    </row>
    <row r="11" spans="1:26" x14ac:dyDescent="0.25">
      <c r="A11" s="24" t="s">
        <v>200</v>
      </c>
      <c r="B11" s="37">
        <f>IFERROR(INDEX(Units!$B$5:$B$304,MATCH($A11,Units!$A$5:$A$304,0)),"")</f>
      </c>
      <c r="C11" s="37">
        <f>IFERROR(INDEX(Units!$C$5:$C$304,MATCH($A11,Units!$A$5:$A$304,0)),"")</f>
      </c>
      <c r="D11" s="27">
        <f>IFERROR(INDEX(Units!$E$5:$E$304,MATCH($A11,Units!$A$5:$A$304,0)),"")</f>
      </c>
      <c r="E11" s="42">
        <f>IFERROR(INDEX(Units!$H$5:$H$304,MATCH($A11,Units!$A$5:$A$304,0)),"")</f>
      </c>
      <c r="F11" s="37">
        <f>IFERROR(INDEX(Units!$Q$5:$Q$304,MATCH($A11,Units!$A$5:$A$304,0)),"")</f>
      </c>
      <c r="G11" s="25" t="s">
        <v>240</v>
      </c>
      <c r="H11" s="36">
        <v>7.5</v>
      </c>
      <c r="I11" s="43">
        <v>0.44</v>
      </c>
      <c r="J11" s="34">
        <v>195000</v>
      </c>
      <c r="K11" s="34">
        <v>480000</v>
      </c>
      <c r="L11" s="43">
        <v>0.34</v>
      </c>
      <c r="M11" s="34">
        <v>0</v>
      </c>
      <c r="N11" s="34">
        <v>12</v>
      </c>
      <c r="O11" s="36">
        <v>1</v>
      </c>
      <c r="P11" s="27">
        <f>IF(F11="Level 2",$O11*'Screen parameters'!$B$40,IF(F11="","",$O11*'Screen parameters'!$B$41))</f>
      </c>
      <c r="Q11" s="44">
        <f>IFERROR(IF($G11="Diesel",'Screen parameters'!$B$35,'Screen parameters'!$B$36)/$H11,"")</f>
      </c>
      <c r="R11" s="44">
        <f>IFERROR(E11*'Screen parameters'!$B$37/'Screen parameters'!$B$16,"")</f>
      </c>
      <c r="S11" s="44">
        <f>IFERROR(Q11-R11,"")</f>
      </c>
      <c r="T11" s="44">
        <f>IFERROR($I11-$L11,"")</f>
      </c>
      <c r="U11" s="44">
        <f>IFERROR(S11+T11,"")</f>
      </c>
      <c r="V11" s="38">
        <f>IFERROR(U11*D11,"")</f>
      </c>
      <c r="W11" s="27">
        <f>IFERROR($K11-$M11+P11-$J11,"")</f>
      </c>
      <c r="X11" s="45">
        <f>IF(V11="","",IF(V11&lt;=0,"",IF(W11&lt;=0,0,IFERROR(W11/V11,""))))</f>
      </c>
      <c r="Y11" s="27">
        <f>IFERROR(V11*$N11-W11,"")</f>
      </c>
      <c r="Z11" s="28" t="s">
        <v>243</v>
      </c>
    </row>
    <row r="12" spans="1:26" x14ac:dyDescent="0.25">
      <c r="A12" s="24" t="s">
        <v>202</v>
      </c>
      <c r="B12" s="37">
        <f>IFERROR(INDEX(Units!$B$5:$B$304,MATCH($A12,Units!$A$5:$A$304,0)),"")</f>
      </c>
      <c r="C12" s="37">
        <f>IFERROR(INDEX(Units!$C$5:$C$304,MATCH($A12,Units!$A$5:$A$304,0)),"")</f>
      </c>
      <c r="D12" s="27">
        <f>IFERROR(INDEX(Units!$E$5:$E$304,MATCH($A12,Units!$A$5:$A$304,0)),"")</f>
      </c>
      <c r="E12" s="42">
        <f>IFERROR(INDEX(Units!$H$5:$H$304,MATCH($A12,Units!$A$5:$A$304,0)),"")</f>
      </c>
      <c r="F12" s="37">
        <f>IFERROR(INDEX(Units!$Q$5:$Q$304,MATCH($A12,Units!$A$5:$A$304,0)),"")</f>
      </c>
      <c r="G12" s="25" t="s">
        <v>235</v>
      </c>
      <c r="H12" s="36">
        <v>15</v>
      </c>
      <c r="I12" s="43">
        <v>0.101</v>
      </c>
      <c r="J12" s="34">
        <v>48000</v>
      </c>
      <c r="K12" s="34">
        <v>61000</v>
      </c>
      <c r="L12" s="43">
        <v>0.061</v>
      </c>
      <c r="M12" s="34">
        <v>7500</v>
      </c>
      <c r="N12" s="34">
        <v>8</v>
      </c>
      <c r="O12" s="36">
        <v>1</v>
      </c>
      <c r="P12" s="27">
        <f>IF(F12="Level 2",$O12*'Screen parameters'!$B$40,IF(F12="","",$O12*'Screen parameters'!$B$41))</f>
      </c>
      <c r="Q12" s="44">
        <f>IFERROR(IF($G12="Diesel",'Screen parameters'!$B$35,'Screen parameters'!$B$36)/$H12,"")</f>
      </c>
      <c r="R12" s="44">
        <f>IFERROR(E12*'Screen parameters'!$B$37/'Screen parameters'!$B$16,"")</f>
      </c>
      <c r="S12" s="44">
        <f>IFERROR(Q12-R12,"")</f>
      </c>
      <c r="T12" s="44">
        <f>IFERROR($I12-$L12,"")</f>
      </c>
      <c r="U12" s="44">
        <f>IFERROR(S12+T12,"")</f>
      </c>
      <c r="V12" s="38">
        <f>IFERROR(U12*D12,"")</f>
      </c>
      <c r="W12" s="27">
        <f>IFERROR($K12-$M12+P12-$J12,"")</f>
      </c>
      <c r="X12" s="45">
        <f>IF(V12="","",IF(V12&lt;=0,"",IF(W12&lt;=0,0,IFERROR(W12/V12,""))))</f>
      </c>
      <c r="Y12" s="27">
        <f>IFERROR(V12*$N12-W12,"")</f>
      </c>
      <c r="Z12" s="28" t="s">
        <v>244</v>
      </c>
    </row>
    <row r="13" spans="1:26" x14ac:dyDescent="0.25">
      <c r="A13" s="24" t="s">
        <v>204</v>
      </c>
      <c r="B13" s="37">
        <f>IFERROR(INDEX(Units!$B$5:$B$304,MATCH($A13,Units!$A$5:$A$304,0)),"")</f>
      </c>
      <c r="C13" s="37">
        <f>IFERROR(INDEX(Units!$C$5:$C$304,MATCH($A13,Units!$A$5:$A$304,0)),"")</f>
      </c>
      <c r="D13" s="27">
        <f>IFERROR(INDEX(Units!$E$5:$E$304,MATCH($A13,Units!$A$5:$A$304,0)),"")</f>
      </c>
      <c r="E13" s="42">
        <f>IFERROR(INDEX(Units!$H$5:$H$304,MATCH($A13,Units!$A$5:$A$304,0)),"")</f>
      </c>
      <c r="F13" s="37">
        <f>IFERROR(INDEX(Units!$Q$5:$Q$304,MATCH($A13,Units!$A$5:$A$304,0)),"")</f>
      </c>
      <c r="G13" s="25" t="s">
        <v>235</v>
      </c>
      <c r="H13" s="36">
        <v>15</v>
      </c>
      <c r="I13" s="43">
        <v>0.101</v>
      </c>
      <c r="J13" s="34">
        <v>48000</v>
      </c>
      <c r="K13" s="34">
        <v>61000</v>
      </c>
      <c r="L13" s="43">
        <v>0.061</v>
      </c>
      <c r="M13" s="34">
        <v>7500</v>
      </c>
      <c r="N13" s="34">
        <v>8</v>
      </c>
      <c r="O13" s="36">
        <v>1</v>
      </c>
      <c r="P13" s="27">
        <f>IF(F13="Level 2",$O13*'Screen parameters'!$B$40,IF(F13="","",$O13*'Screen parameters'!$B$41))</f>
      </c>
      <c r="Q13" s="44">
        <f>IFERROR(IF($G13="Diesel",'Screen parameters'!$B$35,'Screen parameters'!$B$36)/$H13,"")</f>
      </c>
      <c r="R13" s="44">
        <f>IFERROR(E13*'Screen parameters'!$B$37/'Screen parameters'!$B$16,"")</f>
      </c>
      <c r="S13" s="44">
        <f>IFERROR(Q13-R13,"")</f>
      </c>
      <c r="T13" s="44">
        <f>IFERROR($I13-$L13,"")</f>
      </c>
      <c r="U13" s="44">
        <f>IFERROR(S13+T13,"")</f>
      </c>
      <c r="V13" s="38">
        <f>IFERROR(U13*D13,"")</f>
      </c>
      <c r="W13" s="27">
        <f>IFERROR($K13-$M13+P13-$J13,"")</f>
      </c>
      <c r="X13" s="45">
        <f>IF(V13="","",IF(V13&lt;=0,"",IF(W13&lt;=0,0,IFERROR(W13/V13,""))))</f>
      </c>
      <c r="Y13" s="27">
        <f>IFERROR(V13*$N13-W13,"")</f>
      </c>
      <c r="Z13" s="28" t="s">
        <v>245</v>
      </c>
    </row>
    <row r="14" spans="1:26" x14ac:dyDescent="0.25">
      <c r="A14" s="24" t="s">
        <v>206</v>
      </c>
      <c r="B14" s="37">
        <f>IFERROR(INDEX(Units!$B$5:$B$304,MATCH($A14,Units!$A$5:$A$304,0)),"")</f>
      </c>
      <c r="C14" s="37">
        <f>IFERROR(INDEX(Units!$C$5:$C$304,MATCH($A14,Units!$A$5:$A$304,0)),"")</f>
      </c>
      <c r="D14" s="27">
        <f>IFERROR(INDEX(Units!$E$5:$E$304,MATCH($A14,Units!$A$5:$A$304,0)),"")</f>
      </c>
      <c r="E14" s="42">
        <f>IFERROR(INDEX(Units!$H$5:$H$304,MATCH($A14,Units!$A$5:$A$304,0)),"")</f>
      </c>
      <c r="F14" s="37">
        <f>IFERROR(INDEX(Units!$Q$5:$Q$304,MATCH($A14,Units!$A$5:$A$304,0)),"")</f>
      </c>
      <c r="G14" s="25" t="s">
        <v>235</v>
      </c>
      <c r="H14" s="36">
        <v>17</v>
      </c>
      <c r="I14" s="43">
        <v>0.101</v>
      </c>
      <c r="J14" s="34">
        <v>52000</v>
      </c>
      <c r="K14" s="34">
        <v>63000</v>
      </c>
      <c r="L14" s="43">
        <v>0.061</v>
      </c>
      <c r="M14" s="34">
        <v>0</v>
      </c>
      <c r="N14" s="34">
        <v>8</v>
      </c>
      <c r="O14" s="36">
        <v>1</v>
      </c>
      <c r="P14" s="27">
        <f>IF(F14="Level 2",$O14*'Screen parameters'!$B$40,IF(F14="","",$O14*'Screen parameters'!$B$41))</f>
      </c>
      <c r="Q14" s="44">
        <f>IFERROR(IF($G14="Diesel",'Screen parameters'!$B$35,'Screen parameters'!$B$36)/$H14,"")</f>
      </c>
      <c r="R14" s="44">
        <f>IFERROR(E14*'Screen parameters'!$B$37/'Screen parameters'!$B$16,"")</f>
      </c>
      <c r="S14" s="44">
        <f>IFERROR(Q14-R14,"")</f>
      </c>
      <c r="T14" s="44">
        <f>IFERROR($I14-$L14,"")</f>
      </c>
      <c r="U14" s="44">
        <f>IFERROR(S14+T14,"")</f>
      </c>
      <c r="V14" s="38">
        <f>IFERROR(U14*D14,"")</f>
      </c>
      <c r="W14" s="27">
        <f>IFERROR($K14-$M14+P14-$J14,"")</f>
      </c>
      <c r="X14" s="45">
        <f>IF(V14="","",IF(V14&lt;=0,"",IF(W14&lt;=0,0,IFERROR(W14/V14,""))))</f>
      </c>
      <c r="Y14" s="27">
        <f>IFERROR(V14*$N14-W14,"")</f>
      </c>
      <c r="Z14" s="28" t="s">
        <v>246</v>
      </c>
    </row>
    <row r="16" ht="58" customHeight="1" spans="1:26" x14ac:dyDescent="0.25">
      <c r="A16" s="12" t="s">
        <v>247</v>
      </c>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sheetData>
  <mergeCells count="5">
    <mergeCell ref="A1:L1"/>
    <mergeCell ref="A2:C2"/>
    <mergeCell ref="D2:F2"/>
    <mergeCell ref="A3:Z3"/>
    <mergeCell ref="A16:Z16"/>
  </mergeCells>
  <dataValidations count="2">
    <dataValidation type="list" allowBlank="1" showErrorMessage="1" errorTitle="Pick one" error="Allowed values: Diesel,Gasoline" sqref="G10:G14">
      <formula1>"Diesel,Gasoline"</formula1>
    </dataValidation>
    <dataValidation type="list" allowBlank="1" showErrorMessage="1" errorTitle="Pick one" error="Allowed values: Diesel,Gasoline" sqref="G5:G14">
      <formula1>"Diesel,Gasoline"</formula1>
    </dataValidation>
  </dataValidations>
  <pageMargins left="0.4" right="0.4" top="0.5" bottom="0.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workbookViewId="0">
      <pane xSplit="1" ySplit="3" topLeftCell="B4" activePane="bottomRight" state="frozen"/>
      <selection pane="bottomRight"/>
    </sheetView>
  </sheetViews>
  <sheetFormatPr defaultRowHeight="15" outlineLevelRow="0" outlineLevelCol="0" x14ac:dyDescent="55"/>
  <cols>
    <col min="1" max="1" width="13" customWidth="1"/>
    <col min="2" max="2" width="34" customWidth="1"/>
    <col min="3" max="3" width="12" customWidth="1"/>
    <col min="4" max="4" width="20" customWidth="1"/>
    <col min="5" max="5" width="28" customWidth="1"/>
    <col min="6" max="6" width="11" customWidth="1"/>
    <col min="7" max="7" width="62" customWidth="1"/>
    <col min="8" max="8" width="13" customWidth="1"/>
    <col min="9" max="9" width="22" customWidth="1"/>
  </cols>
  <sheetData>
    <row r="1" spans="1:6" x14ac:dyDescent="0.25">
      <c r="A1" s="3" t="s">
        <v>2</v>
      </c>
      <c r="B1" s="3"/>
      <c r="C1" s="3"/>
      <c r="D1" s="4" t="s">
        <v>3</v>
      </c>
      <c r="E1" s="4"/>
      <c r="F1" s="4"/>
    </row>
    <row r="2" spans="1:9" x14ac:dyDescent="0.25">
      <c r="A2" s="23" t="s">
        <v>87</v>
      </c>
      <c r="B2" s="23"/>
      <c r="C2" s="23"/>
      <c r="D2" s="23"/>
      <c r="E2" s="23"/>
      <c r="F2" s="23"/>
      <c r="G2" s="23"/>
      <c r="H2" s="23"/>
      <c r="I2" s="23"/>
    </row>
    <row r="3" ht="30" customHeight="1" spans="1:9" x14ac:dyDescent="0.25">
      <c r="A3" s="9" t="s">
        <v>139</v>
      </c>
      <c r="B3" s="9" t="s">
        <v>140</v>
      </c>
      <c r="C3" s="9" t="s">
        <v>248</v>
      </c>
      <c r="D3" s="9" t="s">
        <v>117</v>
      </c>
      <c r="E3" s="9" t="s">
        <v>249</v>
      </c>
      <c r="F3" s="9" t="s">
        <v>250</v>
      </c>
      <c r="G3" s="9" t="s">
        <v>251</v>
      </c>
      <c r="H3" s="9" t="s">
        <v>252</v>
      </c>
      <c r="I3" s="9" t="s">
        <v>253</v>
      </c>
    </row>
    <row r="4" ht="46" customHeight="1" spans="1:9" x14ac:dyDescent="0.25">
      <c r="A4" s="24" t="s">
        <v>189</v>
      </c>
      <c r="B4" s="46">
        <f>IFERROR(INDEX(Units!$B$5:$B$304,MATCH($A4,Units!$A$5:$A$304,0)),"")</f>
      </c>
      <c r="C4" s="46">
        <f>IFERROR(INDEX(Units!$C$5:$C$304,MATCH($A4,Units!$A$5:$A$304,0)),"")</f>
      </c>
      <c r="D4" s="46">
        <f>IFERROR(INDEX(Units!$D$5:$D$304,MATCH($A4,Units!$A$5:$A$304,0)),"")</f>
      </c>
      <c r="E4" s="46">
        <f>IFERROR(INDEX(Units!$AM$5:$AM$304,MATCH($A4,Units!$A$5:$A$304,0)),"")</f>
      </c>
      <c r="F4" s="47">
        <f>IFERROR(INDEX(Units!$AK$5:$AK$304,MATCH($A4,Units!$A$5:$A$304,0)),"")</f>
      </c>
      <c r="G4" s="48">
        <f>IFERROR(INDEX(Units!$AN$5:$AN$304,MATCH($A4,Units!$A$5:$A$304,0)),"")</f>
      </c>
      <c r="H4" s="25" t="s">
        <v>254</v>
      </c>
      <c r="I4" s="25" t="s">
        <v>255</v>
      </c>
    </row>
    <row r="5" ht="46" customHeight="1" spans="1:9" x14ac:dyDescent="0.25">
      <c r="A5" s="24" t="s">
        <v>186</v>
      </c>
      <c r="B5" s="46">
        <f>IFERROR(INDEX(Units!$B$5:$B$304,MATCH($A5,Units!$A$5:$A$304,0)),"")</f>
      </c>
      <c r="C5" s="46">
        <f>IFERROR(INDEX(Units!$C$5:$C$304,MATCH($A5,Units!$A$5:$A$304,0)),"")</f>
      </c>
      <c r="D5" s="46">
        <f>IFERROR(INDEX(Units!$D$5:$D$304,MATCH($A5,Units!$A$5:$A$304,0)),"")</f>
      </c>
      <c r="E5" s="46">
        <f>IFERROR(INDEX(Units!$AM$5:$AM$304,MATCH($A5,Units!$A$5:$A$304,0)),"")</f>
      </c>
      <c r="F5" s="47">
        <f>IFERROR(INDEX(Units!$AK$5:$AK$304,MATCH($A5,Units!$A$5:$A$304,0)),"")</f>
      </c>
      <c r="G5" s="48">
        <f>IFERROR(INDEX(Units!$AN$5:$AN$304,MATCH($A5,Units!$A$5:$A$304,0)),"")</f>
      </c>
      <c r="H5" s="25" t="s">
        <v>256</v>
      </c>
      <c r="I5" s="25" t="s">
        <v>255</v>
      </c>
    </row>
    <row r="6" ht="46" customHeight="1" spans="1:9" x14ac:dyDescent="0.25">
      <c r="A6" s="24" t="s">
        <v>200</v>
      </c>
      <c r="B6" s="46">
        <f>IFERROR(INDEX(Units!$B$5:$B$304,MATCH($A6,Units!$A$5:$A$304,0)),"")</f>
      </c>
      <c r="C6" s="46">
        <f>IFERROR(INDEX(Units!$C$5:$C$304,MATCH($A6,Units!$A$5:$A$304,0)),"")</f>
      </c>
      <c r="D6" s="46">
        <f>IFERROR(INDEX(Units!$D$5:$D$304,MATCH($A6,Units!$A$5:$A$304,0)),"")</f>
      </c>
      <c r="E6" s="46">
        <f>IFERROR(INDEX(Units!$AM$5:$AM$304,MATCH($A6,Units!$A$5:$A$304,0)),"")</f>
      </c>
      <c r="F6" s="47">
        <f>IFERROR(INDEX(Units!$AK$5:$AK$304,MATCH($A6,Units!$A$5:$A$304,0)),"")</f>
      </c>
      <c r="G6" s="48">
        <f>IFERROR(INDEX(Units!$AN$5:$AN$304,MATCH($A6,Units!$A$5:$A$304,0)),"")</f>
      </c>
      <c r="H6" s="25" t="s">
        <v>254</v>
      </c>
      <c r="I6" s="25" t="s">
        <v>257</v>
      </c>
    </row>
    <row r="7" ht="46" customHeight="1" spans="1:9" x14ac:dyDescent="0.25">
      <c r="A7" s="24" t="s">
        <v>192</v>
      </c>
      <c r="B7" s="46">
        <f>IFERROR(INDEX(Units!$B$5:$B$304,MATCH($A7,Units!$A$5:$A$304,0)),"")</f>
      </c>
      <c r="C7" s="46">
        <f>IFERROR(INDEX(Units!$C$5:$C$304,MATCH($A7,Units!$A$5:$A$304,0)),"")</f>
      </c>
      <c r="D7" s="46">
        <f>IFERROR(INDEX(Units!$D$5:$D$304,MATCH($A7,Units!$A$5:$A$304,0)),"")</f>
      </c>
      <c r="E7" s="46">
        <f>IFERROR(INDEX(Units!$AM$5:$AM$304,MATCH($A7,Units!$A$5:$A$304,0)),"")</f>
      </c>
      <c r="F7" s="47">
        <f>IFERROR(INDEX(Units!$AK$5:$AK$304,MATCH($A7,Units!$A$5:$A$304,0)),"")</f>
      </c>
      <c r="G7" s="48">
        <f>IFERROR(INDEX(Units!$AN$5:$AN$304,MATCH($A7,Units!$A$5:$A$304,0)),"")</f>
      </c>
      <c r="H7" s="25" t="s">
        <v>254</v>
      </c>
      <c r="I7" s="25" t="s">
        <v>257</v>
      </c>
    </row>
    <row r="9" ht="58" customHeight="1" spans="1:9" x14ac:dyDescent="0.25">
      <c r="A9" s="12" t="s">
        <v>258</v>
      </c>
      <c r="B9" s="12"/>
      <c r="C9" s="12"/>
      <c r="D9" s="12"/>
      <c r="E9" s="12"/>
      <c r="F9" s="12"/>
      <c r="G9" s="12"/>
      <c r="H9" s="12"/>
      <c r="I9" s="12"/>
    </row>
  </sheetData>
  <mergeCells count="4">
    <mergeCell ref="A1:C1"/>
    <mergeCell ref="D1:F1"/>
    <mergeCell ref="A2:I2"/>
    <mergeCell ref="A9:I9"/>
  </mergeCells>
  <pageMargins left="0.5" right="0.5" top="0.6" bottom="0.6" header="0.3" footer="0.3"/>
  <pageSetup orientation="portrait"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FormatPr defaultRowHeight="15" outlineLevelRow="0" outlineLevelCol="0" x14ac:dyDescent="55"/>
  <cols>
    <col min="1" max="1" width="78" customWidth="1"/>
    <col min="2" max="2" width="12" customWidth="1"/>
  </cols>
  <sheetData>
    <row r="1" spans="1:1" x14ac:dyDescent="0.25">
      <c r="A1" s="49" t="s">
        <v>259</v>
      </c>
    </row>
    <row r="2" spans="1:1" x14ac:dyDescent="0.25">
      <c r="A2" s="50" t="s">
        <v>260</v>
      </c>
    </row>
    <row r="3" spans="1:1" x14ac:dyDescent="0.25">
      <c r="A3" s="50" t="s">
        <v>261</v>
      </c>
    </row>
    <row r="4" spans="1:1" x14ac:dyDescent="0.25"/>
    <row r="5" spans="1:1" x14ac:dyDescent="0.25">
      <c r="A5" s="49" t="s">
        <v>262</v>
      </c>
    </row>
    <row r="6" ht="76" customHeight="1" spans="1:1" x14ac:dyDescent="0.25">
      <c r="A6" s="5" t="s">
        <v>263</v>
      </c>
    </row>
    <row r="7" ht="30" customHeight="1" spans="1:2" x14ac:dyDescent="0.25">
      <c r="A7" s="5" t="s">
        <v>264</v>
      </c>
      <c r="B7" s="51" t="s">
        <v>265</v>
      </c>
    </row>
    <row r="8" ht="46" customHeight="1" spans="1:2" x14ac:dyDescent="0.25">
      <c r="A8" s="5" t="s">
        <v>266</v>
      </c>
      <c r="B8" s="51" t="s">
        <v>265</v>
      </c>
    </row>
    <row r="9" ht="46" customHeight="1" spans="1:2" x14ac:dyDescent="0.25">
      <c r="A9" s="5" t="s">
        <v>267</v>
      </c>
      <c r="B9" s="51" t="s">
        <v>265</v>
      </c>
    </row>
    <row r="10" spans="1:2" x14ac:dyDescent="0.25">
      <c r="A10" s="52" t="s">
        <v>268</v>
      </c>
      <c r="B10" s="51" t="s">
        <v>265</v>
      </c>
    </row>
    <row r="11" spans="1:2" x14ac:dyDescent="0.25">
      <c r="A11" s="52" t="s">
        <v>269</v>
      </c>
      <c r="B11" s="51" t="s">
        <v>265</v>
      </c>
    </row>
    <row r="12" spans="1:2" x14ac:dyDescent="0.25">
      <c r="A12" s="52" t="s">
        <v>270</v>
      </c>
      <c r="B12" s="51" t="s">
        <v>265</v>
      </c>
    </row>
    <row r="13" spans="1:2" x14ac:dyDescent="0.25">
      <c r="A13" s="52" t="s">
        <v>271</v>
      </c>
      <c r="B13" s="51" t="s">
        <v>265</v>
      </c>
    </row>
    <row r="14" spans="1:2" x14ac:dyDescent="0.25">
      <c r="A14" s="52" t="s">
        <v>272</v>
      </c>
      <c r="B14" s="51" t="s">
        <v>265</v>
      </c>
    </row>
    <row r="15" spans="1:2" x14ac:dyDescent="0.25">
      <c r="A15" s="52" t="s">
        <v>273</v>
      </c>
      <c r="B15" s="51" t="s">
        <v>265</v>
      </c>
    </row>
    <row r="16" spans="1:2" x14ac:dyDescent="0.25">
      <c r="A16" s="52" t="s">
        <v>274</v>
      </c>
      <c r="B16" s="51" t="s">
        <v>265</v>
      </c>
    </row>
    <row r="17" spans="1:2" x14ac:dyDescent="0.25">
      <c r="A17" s="52" t="s">
        <v>275</v>
      </c>
      <c r="B17" s="51" t="s">
        <v>265</v>
      </c>
    </row>
    <row r="18" spans="1:2" x14ac:dyDescent="0.25">
      <c r="A18" s="52" t="s">
        <v>276</v>
      </c>
      <c r="B18" s="51" t="s">
        <v>265</v>
      </c>
    </row>
    <row r="19" spans="1:2" x14ac:dyDescent="0.25">
      <c r="A19" s="52" t="s">
        <v>277</v>
      </c>
      <c r="B19" s="51" t="s">
        <v>265</v>
      </c>
    </row>
    <row r="20" spans="1:2" x14ac:dyDescent="0.25">
      <c r="A20" s="52" t="s">
        <v>278</v>
      </c>
      <c r="B20" s="51" t="s">
        <v>265</v>
      </c>
    </row>
    <row r="22" spans="1:1" x14ac:dyDescent="0.25">
      <c r="A22" s="49" t="s">
        <v>279</v>
      </c>
    </row>
    <row r="23" spans="1:1" x14ac:dyDescent="0.25">
      <c r="A23" s="53" t="s">
        <v>280</v>
      </c>
    </row>
    <row r="24" spans="1:2" x14ac:dyDescent="0.25">
      <c r="A24" s="20" t="s">
        <v>281</v>
      </c>
      <c r="B24" s="54" t="s">
        <v>282</v>
      </c>
    </row>
    <row r="25" spans="1:2" x14ac:dyDescent="0.25">
      <c r="A25" s="20" t="s">
        <v>283</v>
      </c>
      <c r="B25" s="54" t="s">
        <v>282</v>
      </c>
    </row>
    <row r="26" spans="1:2" x14ac:dyDescent="0.25">
      <c r="A26" s="20" t="s">
        <v>284</v>
      </c>
      <c r="B26" s="54" t="s">
        <v>282</v>
      </c>
    </row>
    <row r="27" spans="1:2" x14ac:dyDescent="0.25">
      <c r="A27" s="20" t="s">
        <v>285</v>
      </c>
      <c r="B27" s="54" t="s">
        <v>282</v>
      </c>
    </row>
    <row r="28" spans="1:2" x14ac:dyDescent="0.25">
      <c r="A28" s="20" t="s">
        <v>286</v>
      </c>
      <c r="B28" s="54" t="s">
        <v>282</v>
      </c>
    </row>
    <row r="29" spans="1:2" x14ac:dyDescent="0.25">
      <c r="A29" s="20" t="s">
        <v>287</v>
      </c>
      <c r="B29" s="54" t="s">
        <v>282</v>
      </c>
    </row>
    <row r="31" spans="1:1" x14ac:dyDescent="0.25">
      <c r="A31" s="49" t="s">
        <v>288</v>
      </c>
    </row>
    <row r="32" spans="1:1" x14ac:dyDescent="0.25">
      <c r="A32" s="50" t="s">
        <v>289</v>
      </c>
    </row>
    <row r="33" spans="1:1" x14ac:dyDescent="0.25">
      <c r="A33" s="50" t="s">
        <v>290</v>
      </c>
    </row>
    <row r="34" spans="1:1" x14ac:dyDescent="0.25">
      <c r="A34" s="50" t="s">
        <v>291</v>
      </c>
    </row>
  </sheetData>
  <hyperlinks>
    <hyperlink ref="A10" r:id="rId1"/>
    <hyperlink ref="A11" r:id="rId2"/>
    <hyperlink ref="A12" r:id="rId3"/>
    <hyperlink ref="A13" r:id="rId4"/>
    <hyperlink ref="A14" r:id="rId5"/>
    <hyperlink ref="A15" r:id="rId6"/>
    <hyperlink ref="A16" r:id="rId7"/>
    <hyperlink ref="A17" r:id="rId8"/>
    <hyperlink ref="A18" r:id="rId9"/>
    <hyperlink ref="A19" r:id="rId10"/>
    <hyperlink ref="A20" r:id="rId1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How to use</vt:lpstr>
      <vt:lpstr>Screen parameters</vt:lpstr>
      <vt:lpstr>Classes</vt:lpstr>
      <vt:lpstr>Facilities</vt:lpstr>
      <vt:lpstr>Units</vt:lpstr>
      <vt:lpstr>TCO comparison</vt:lpstr>
      <vt:lpstr>Revisit list (print)</vt:lpstr>
      <vt:lpstr>Sources &amp; method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Fleet Desk</dc:creator>
  <dc:title>Electrification suitability screen</dc:title>
  <dc:subject>Electrification suitability screen — version 1.0</dc:subject>
  <dc:description/>
  <cp:keywords>fleet management, template</cp:keywords>
  <cp:category/>
  <cp:lastModifiedBy>Fleet Desk</cp:lastModifiedBy>
  <dcterms:created xsi:type="dcterms:W3CDTF">2026-08-04T13:54:04Z</dcterms:created>
  <dcterms:modified xsi:type="dcterms:W3CDTF">2026-08-04T13:54:04Z</dcterms:modified>
</cp:coreProperties>
</file>