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Asset register" state="visible" r:id="rId5"/>
    <sheet sheetId="3" name="Funding gap" state="visible" r:id="rId6"/>
    <sheet sheetId="4" name="Opening balance sheet" state="visible" r:id="rId7"/>
    <sheet sheetId="5" name="Working capital" state="visible" r:id="rId8"/>
    <sheet sheetId="6" name="Parallel-year billing" state="visible" r:id="rId9"/>
    <sheet sheetId="7" name="Sources &amp; method" state="visible" r:id="rId10"/>
  </sheets>
  <definedNames>
    <definedName name="_xlnm.Print_Area" localSheetId="1">'Asset register'!$A1:$W16</definedName>
    <definedName name="_xlnm.Print_Titles" localSheetId="1">'Asset register'!$4:$4</definedName>
    <definedName name="_xlnm.Print_Area" localSheetId="2">'Funding gap'!$A1:$I36</definedName>
    <definedName name="_xlnm.Print_Area" localSheetId="3">'Opening balance sheet'!$A1:$C26</definedName>
    <definedName name="_xlnm.Print_Area" localSheetId="4">'Working capital'!$A1:$C20</definedName>
    <definedName name="_xlnm.Print_Area" localSheetId="5">'Parallel-year billing'!$A1:$J28</definedName>
    <definedName name="_xlnm.Print_Titles" localSheetId="5">'Parallel-year billing'!$13:$13</definedName>
  </definedNames>
  <calcPr calcId="171027"/>
</workbook>
</file>

<file path=xl/sharedStrings.xml><?xml version="1.0" encoding="utf-8"?>
<sst xmlns="http://schemas.openxmlformats.org/spreadsheetml/2006/main" count="273" uniqueCount="215">
  <si>
    <t>Internal service fund conversion kit</t>
  </si>
  <si>
    <t>Version 1.0 — 2026-07-01</t>
  </si>
  <si>
    <t>Input — change this</t>
  </si>
  <si>
    <t>Calculated — do not type here</t>
  </si>
  <si>
    <t>An internal service fund is fleet operating as a business inside the government: it charges user departments for what they consume, and it is expected to break even. GASB says so in the definition itself — an internal service fund reports activity provided to other funds, departments or agencies on a cost-reimbursement basis (Codification 1300.110).</t>
  </si>
  <si>
    <t>This workbook establishes the opening position. It answers three questions in order: what the reserve should already hold against every existing unit, what the gap is, and what the fund’s balance sheet looks like on day one.</t>
  </si>
  <si>
    <t>Set the scoring year on Asset register first. Nothing in this workbook uses TODAY() — an opening position is a record struck on a date, not a number that changes when you reopen the file in January.</t>
  </si>
  <si>
    <t>Asset register is the longest step of the whole conversion and the one agencies underestimate. If the records are on paper or in three spreadsheets, budget real months for it before you budget anything else.</t>
  </si>
  <si>
    <t>Escalation runs over each unit’s remaining life, not a full cycle, because that unit gets bought on its own replacement date. This is deliberately a different figure from the chargeback rate workbook, which escalates a new unit over a whole cycle.</t>
  </si>
  <si>
    <t>"Reserve that should have accrued" is a management construct, not accumulated depreciation and not required by any standard. The book-value columns are the separate accounting estimate, and your finance office’s capital asset records govern.</t>
  </si>
  <si>
    <t>Funding gap prices the three legacy-asset options the guide describes — start fresh, catch-up surcharge, seed the fund. Read the per-class surcharge column before the fleet-wide one: the burden is not flat, and the heavy classes carry it.</t>
  </si>
  <si>
    <t>Working capital keeps the two pots apart. Cash seeded for replacements is not operating liquidity, and counting it as such is how a fund with nine days of cash reports six hundred.</t>
  </si>
  <si>
    <t>Parallel-year billing takes the fixed and variable rates straight from the chargeback rate workbook — the column headers are identical, so a paste works — and tests whether they recover. Skipping this year is the single most common cause of a rocky first real year.</t>
  </si>
  <si>
    <t>Nothing is locked or password protected. Insert rows, add units, change the assumptions.</t>
  </si>
  <si>
    <t>Change these three before the numbers mean anything:</t>
  </si>
  <si>
    <t>•  Asset register → Scoring year (B1): every age, capital year and accrual on the sheet keys off it</t>
  </si>
  <si>
    <t>•  Asset register → Current replacement cost ($) and Assigned replacement cycle (years): the gap is entirely built from these two</t>
  </si>
  <si>
    <t>•  Funding gap → Catch-up period (years) and Existing capital reserves available to seed the fund ($): they price the option you will actually recommend</t>
  </si>
  <si>
    <t>Scoring year (calendar year this opening position is struck as of)</t>
  </si>
  <si>
    <t>EXAMPLE DATA — replace before use. Delete this row once you have your own numbers.</t>
  </si>
  <si>
    <t>Unit number</t>
  </si>
  <si>
    <t>Class code</t>
  </si>
  <si>
    <t>Year / make / model</t>
  </si>
  <si>
    <t>In-service year</t>
  </si>
  <si>
    <t>Original cost incl. upfit ($)</t>
  </si>
  <si>
    <t>Assigned replacement cycle (years)</t>
  </si>
  <si>
    <t>Current replacement cost ($)</t>
  </si>
  <si>
    <t>Escalation rate (%/yr)</t>
  </si>
  <si>
    <t>Expected salvage ($)</t>
  </si>
  <si>
    <t>Reserve actually held against this unit ($)</t>
  </si>
  <si>
    <t>Age (years)</t>
  </si>
  <si>
    <t>Years into cycle (years)</t>
  </si>
  <si>
    <t>Remaining life (years)</t>
  </si>
  <si>
    <t>Replacement due (year)</t>
  </si>
  <si>
    <t>Capital year — overdue pulled forward (year)</t>
  </si>
  <si>
    <t>Escalated replacement cost ($)</t>
  </si>
  <si>
    <t>Amount to fund ($)</t>
  </si>
  <si>
    <t>Reserve accrual ($/yr)</t>
  </si>
  <si>
    <t>Reserve accrual ($/mo)</t>
  </si>
  <si>
    <t>Reserve that should have accrued ($)</t>
  </si>
  <si>
    <t>RESERVE GAP ($)</t>
  </si>
  <si>
    <t>Accumulated depreciation, estimate ($)</t>
  </si>
  <si>
    <t>Book value, estimate ($)</t>
  </si>
  <si>
    <t>UNIT-1042</t>
  </si>
  <si>
    <t>LD-SED</t>
  </si>
  <si>
    <t>2021 sedan, administrative pool</t>
  </si>
  <si>
    <t>UNIT-1108</t>
  </si>
  <si>
    <t>2018 sedan, administrative pool</t>
  </si>
  <si>
    <t>UNIT-1207</t>
  </si>
  <si>
    <t>LD-PU</t>
  </si>
  <si>
    <t>2020 half-ton pickup, inspections</t>
  </si>
  <si>
    <t>UNIT-1233</t>
  </si>
  <si>
    <t>2019 half-ton pickup, parks</t>
  </si>
  <si>
    <t>UNIT-1310</t>
  </si>
  <si>
    <t>2023 half-ton pickup, utilities</t>
  </si>
  <si>
    <t>UNIT-2210</t>
  </si>
  <si>
    <t>MD-DUMP</t>
  </si>
  <si>
    <t>2018 single-axle dump with plow package</t>
  </si>
  <si>
    <t>UNIT-2241</t>
  </si>
  <si>
    <t>2012 single-axle dump with plow package — past its cycle</t>
  </si>
  <si>
    <t>UNIT-2305</t>
  </si>
  <si>
    <t>HD-REFUSE</t>
  </si>
  <si>
    <t>2019 rear-loader refuse packer</t>
  </si>
  <si>
    <t>Escalation runs over each unit’s remaining life, not over a whole cycle, because this unit will be bought on its own replacement date and not eight years from today. That makes column P deliberately different from the escalated replacement cost in the chargeback rate workbook: that workbook prices a new unit over a whole cycle, this one prices an existing unit from where it actually is. The two are not meant to agree, and a class whose units are mostly old will show a much lower figure here.</t>
  </si>
  <si>
    <t>Column T is a management construct — what the reserve would hold today if this fund had always existed. It is not accumulated depreciation and no standard requires it. Columns V and W are the separate accounting estimate: straight-line on original cost, no salvage assumption, offered only so the opening statement of net position has a capital asset figure to start from. Capital assets are reported net of accumulated depreciation (GASB Codification 1800.157 [GASBS 63, ¶8]), and your finance office’s capital asset records govern, not this sheet.</t>
  </si>
  <si>
    <t>There is no TODAY() anywhere in this workbook. It is outside the portable function set these templates are held to, and more to the point an opening position whose figures move when the file is reopened is not a record anyone can file with a resolution. Eight sample units are shipped so the arithmetic can be checked by hand; the guide's own signal for a conversion being worth the overhead is roughly 75+ units, so expect a real register an order of magnitude longer.</t>
  </si>
  <si>
    <t>Units in class (count)</t>
  </si>
  <si>
    <t>Reserve actually held ($)</t>
  </si>
  <si>
    <t>Go-forward reserve accrual ($/yr)</t>
  </si>
  <si>
    <t>Catch-up surcharge ($/unit/month)</t>
  </si>
  <si>
    <t>TOTAL</t>
  </si>
  <si>
    <t>Legacy asset decision — the three options in section 4 of the conversion plan</t>
  </si>
  <si>
    <t>Catch-up period (years)</t>
  </si>
  <si>
    <t>Existing capital reserves available to seed the fund ($)</t>
  </si>
  <si>
    <t>Option 1 — Start fresh: the one-time capital each year has to find, because nothing was ever accruing</t>
  </si>
  <si>
    <t>Capital year</t>
  </si>
  <si>
    <t>Units due (count)</t>
  </si>
  <si>
    <t>One-time capital required ($)</t>
  </si>
  <si>
    <t>Peak year requirement ($)</t>
  </si>
  <si>
    <t>Option 2 — Catch-up surcharge: the departments that held the assets pay the gap down</t>
  </si>
  <si>
    <t>Fleet-wide surcharge to close the whole gap over the catch-up period ($/unit/month)</t>
  </si>
  <si>
    <t>The fleet-wide figure is the one people quote, and it is the one that kills the option. Column H above is the honest version, and it is not flat: a sedan and a refuse packer do not carry the same share of a gap that the refuse packer largely created.</t>
  </si>
  <si>
    <t>Option 3 — Seed the fund: transfer existing capital reserves in as opening balance</t>
  </si>
  <si>
    <t>Existing reserves transferred in ($)</t>
  </si>
  <si>
    <t>Residual gap after seeding ($)</t>
  </si>
  <si>
    <t>Residual surcharge if the remainder is also caught up ($/unit/month)</t>
  </si>
  <si>
    <t>Most agencies combine them — seed what exists, start fresh on the rest, and accept a few transitional years. Note what the three columns above have in common: they do not differ in total cost, only in who pays and when. Start fresh puts it on the general fund as one-time capital in the years units fall due, and the peak year is the number that gets the option rejected. The surcharge puts it on the departments that held the assets, spread over the catch-up period. The seed puts it on money already set aside, and is only available to the extent that money exists. Say which one you are recommending and why, in the plan.</t>
  </si>
  <si>
    <t>Statement of net position at conversion — [DATE]</t>
  </si>
  <si>
    <t>Line</t>
  </si>
  <si>
    <t>Amount ($)</t>
  </si>
  <si>
    <t>Where this figure comes from</t>
  </si>
  <si>
    <t>Cash transferred in at conversion</t>
  </si>
  <si>
    <t>Option 3 seed, Funding gap sheet</t>
  </si>
  <si>
    <t>Parts and fuel inventory</t>
  </si>
  <si>
    <t>physical count at conversion</t>
  </si>
  <si>
    <t>Receivable from user departments</t>
  </si>
  <si>
    <t>zero on day one — nothing has been billed yet</t>
  </si>
  <si>
    <t>TOTAL CURRENT ASSETS</t>
  </si>
  <si>
    <t>Capital assets, net of accumulated depreciation (estimate)</t>
  </si>
  <si>
    <t>Asset register, book value column</t>
  </si>
  <si>
    <t>TOTAL ASSETS</t>
  </si>
  <si>
    <t>Accounts payable</t>
  </si>
  <si>
    <t>accounts payable at conversion</t>
  </si>
  <si>
    <t>Accrued payroll</t>
  </si>
  <si>
    <t>payroll accrual at conversion</t>
  </si>
  <si>
    <t>TOTAL CURRENT LIABILITIES</t>
  </si>
  <si>
    <t>Debt attributable to the fleet capital assets moving into the fund</t>
  </si>
  <si>
    <t>capital lease / bond schedule</t>
  </si>
  <si>
    <t>TOTAL LIABILITIES</t>
  </si>
  <si>
    <t>NET POSITION</t>
  </si>
  <si>
    <t xml:space="preserve">  Net investment in capital assets</t>
  </si>
  <si>
    <t>GASB Cod. 1800.157 [GASBS 63 ¶8]</t>
  </si>
  <si>
    <t xml:space="preserve">  Restricted</t>
  </si>
  <si>
    <t>distinguish major categories if any</t>
  </si>
  <si>
    <t xml:space="preserve">  Unrestricted</t>
  </si>
  <si>
    <t>WORKING CAPITAL (current assets less current liabilities) ($)</t>
  </si>
  <si>
    <t>Net position is displayed in three components — net investment in capital assets, restricted (distinguishing major categories of restrictions), and unrestricted (GASB Codification 1800.156 [GASBS 63, ¶8]). This is the opening statement of net position only. The other two statements a proprietary fund must present — revenues, expenses and changes in fund net position, and cash flows — begin once the fund operates (Codification 2200.172 [GASBS 34, ¶91 as amended by GASBS 63, ¶8]).</t>
  </si>
  <si>
    <t>Unrestricted net position equals working capital on this sheet, and that is arithmetic rather than luck: it holds for exactly as long as capital assets and the borrowings against them are the fund’s only non-current items. Add a net pension liability, a long-term receivable or a compensated absences accrual and the two diverge immediately. Do not carry the identity forward as a rule.</t>
  </si>
  <si>
    <t>Internal service fund totals are reported in separate columns on the face of the proprietary fund financial statements, to the right of the total enterprise funds column, and major fund reporting requirements do not apply to them (Codification 2200.173 [GASBS 34, ¶96]). Your finance office will know this; the line is here so it is not a surprise when the audited statements arrive.</t>
  </si>
  <si>
    <t>Line (units as labelled)</t>
  </si>
  <si>
    <t>Value</t>
  </si>
  <si>
    <t>Basis</t>
  </si>
  <si>
    <t>Annual fund operating expense, excluding capital outlay and reserve accrual ($/yr)</t>
  </si>
  <si>
    <t>fund budget, or parallel-year actuals less the register accrual</t>
  </si>
  <si>
    <t>Working capital target (days of operating expense)</t>
  </si>
  <si>
    <t>adopted by council — see the note below</t>
  </si>
  <si>
    <t>Target operating working capital ($)</t>
  </si>
  <si>
    <t>Opening working capital ($)</t>
  </si>
  <si>
    <t>Opening balance sheet</t>
  </si>
  <si>
    <t>Less: cash held as replacement reserve ($)</t>
  </si>
  <si>
    <t>Funding gap sheet, option 3</t>
  </si>
  <si>
    <t>Operating working capital available ($)</t>
  </si>
  <si>
    <t>Days of operating expense on hand (days)</t>
  </si>
  <si>
    <t>Surplus / (shortfall) against target ($)</t>
  </si>
  <si>
    <t>Monthly operating margin the corrected rates are planned to produce ($/mo)</t>
  </si>
  <si>
    <t>from the rate build, not from hope</t>
  </si>
  <si>
    <t>Months to reach the target (months)</t>
  </si>
  <si>
    <t>Reference you may adopt or replace — enterprise-fund working capital floor (days)</t>
  </si>
  <si>
    <t>MRSC restating a GFOA best practice — enterprise funds, not internal service funds</t>
  </si>
  <si>
    <t>Annual rate revenue billed at today’s adopted rates ($/yr)</t>
  </si>
  <si>
    <t>row 4 plus twelve months of row 12 — the margin and the revenue cannot be stated independently</t>
  </si>
  <si>
    <t>Rate adjustment that covers operations and rebuilds the shortfall over the catch-up period (%)</t>
  </si>
  <si>
    <t>negative means today’s rates already do it — an ISF recovers cost, it does not hold a profit</t>
  </si>
  <si>
    <t>Two pots, and conflating them is the error this sheet exists to prevent. Cash seeded for replacements is not operating liquidity: a fund holding $250,000 of reserve and $4,000 of everything else has nine days of working capital, not six hundred. Subtract the reserve before you divide.</t>
  </si>
  <si>
    <t>No published working-capital target specific to internal service funds was found for this template. 60 days ships here as a starting point, not as a standard. The nearest published anchor is the 45-day floor cited for enterprise funds on row 14 — a different fund type with a different risk profile, restated by MRSC from a GFOA best practice. Pick a figure, defend it against your own cash-flow pattern, and record it on the Sources sheet.</t>
  </si>
  <si>
    <t>Block A — rates pasted from the chargeback rate workbook. The column headers below match that workbook exactly, so a paste works.</t>
  </si>
  <si>
    <t>Class description</t>
  </si>
  <si>
    <t>FIXED MONTHLY CHARGE ($)</t>
  </si>
  <si>
    <t>VARIABLE RATE ($/mi)</t>
  </si>
  <si>
    <t>Budgeted miles/yr</t>
  </si>
  <si>
    <t>Reserve accrual for this class from the register ($/mo, all units)</t>
  </si>
  <si>
    <t>Shadow bill ($/mo)</t>
  </si>
  <si>
    <t>Shadow bill ($/yr)</t>
  </si>
  <si>
    <t>Light duty sedan, administrative</t>
  </si>
  <si>
    <t>Half-ton pickup, inspection and supervision</t>
  </si>
  <si>
    <t>Single-axle dump with plow package</t>
  </si>
  <si>
    <t>Rear-loader refuse packer</t>
  </si>
  <si>
    <t>Column G is lower per unit than the reserve component sitting inside column D, and that difference is the whole point of the conversion: D prices a new unit escalated over a full cycle, G prices the units you actually own from where they already are. Accumulated over every unit, that difference is the reserve gap on the Funding gap sheet. Going forward the fund charges D and accrues it; the gap is what the years before the fund existed never put aside.</t>
  </si>
  <si>
    <t>Block B — twelve months of shadow billing against what the fund actually spent. Bill on paper; move no money.</t>
  </si>
  <si>
    <t>Month</t>
  </si>
  <si>
    <t>Shadow billings ($)</t>
  </si>
  <si>
    <t>Actual fund expenditure ($)</t>
  </si>
  <si>
    <t>Variance ($)</t>
  </si>
  <si>
    <t>Cumulative variance ($)</t>
  </si>
  <si>
    <t>Recovery (%)</t>
  </si>
  <si>
    <t>Cumulative recovery (%)</t>
  </si>
  <si>
    <t>Objections logged (count)</t>
  </si>
  <si>
    <t>What the objection was about</t>
  </si>
  <si>
    <t>Rate flag</t>
  </si>
  <si>
    <t>Month 1</t>
  </si>
  <si>
    <t>Parks disputes the sedan fixed charge — says two units sit all winter</t>
  </si>
  <si>
    <t>Month 2</t>
  </si>
  <si>
    <t>Solid waste questions the refuse packer overhead allocation basis</t>
  </si>
  <si>
    <t>Month 3</t>
  </si>
  <si>
    <t>Streets wants the plow trucks billed seasonally, not monthly</t>
  </si>
  <si>
    <t>Month 4</t>
  </si>
  <si>
    <t/>
  </si>
  <si>
    <t>Month 5</t>
  </si>
  <si>
    <t>Month 6</t>
  </si>
  <si>
    <t>Month 7</t>
  </si>
  <si>
    <t>Month 8</t>
  </si>
  <si>
    <t>Month 9</t>
  </si>
  <si>
    <t>Month 10</t>
  </si>
  <si>
    <t>Month 11</t>
  </si>
  <si>
    <t>Month 12</t>
  </si>
  <si>
    <t>The parallel year is the guide's step 5, and skipping it is the single most common cause of a rocky first real year. Log every objection in column I — the objection that turns out to be right is worth more than the eleven that are not. Column J flags any month whose cumulative recovery is more than 5% off, and the point of fixing it now is that under-recovery does not quietly disappear at year end: eliminating the effect of internal service fund activity requires preparers to look back and adjust the fund's internal charges to break even, so a net loss from internal activity comes back as a pro rata increase in the amounts charged to the participating funds (GASB Codification 1800.703-4, quoting GASBS 34 Basis for Conclusions ¶314). Fix the rate before the first real billing cycle, not after.</t>
  </si>
  <si>
    <t>Moving fleet to an internal service fund</t>
  </si>
  <si>
    <t>Companion to https://fleetdesk.axionfleetai.com/guides/internal-service-fund/</t>
  </si>
  <si>
    <t>Version 1.0 — reviewed 2026-07-01</t>
  </si>
  <si>
    <t>Sources</t>
  </si>
  <si>
    <t>Sources marked PRIMARY are regulators, standards bodies or government publications. Anything unmarked is trade press or vendor-published and should be treated as directional.</t>
  </si>
  <si>
    <t>GASB Codification 1300.110 [GASBS 34, ¶68] — internal service funds may report activity provided to other funds, departments or agencies on a cost-reimbursement basis, and only where the reporting government is the predominant participant</t>
  </si>
  <si>
    <t>PRIMARY</t>
  </si>
  <si>
    <t>GASB Codification 2200.172–.173 [GASBS 34, ¶91 as amended by GASBS 63, ¶8; GASBS 34, ¶96] — the three statements a proprietary fund must present, and internal service fund totals reported in separate columns to the right of the total enterprise funds column</t>
  </si>
  <si>
    <t>GASB Codification 1800.156–.157 [GASBS 63, ¶8] — net position displayed in three components, and net investment in capital assets as capital assets net of accumulated depreciation reduced by the borrowings attributable to them</t>
  </si>
  <si>
    <t>GASB Codification 1800.703-4 [GASBIG 2015-1, Q7.47.6, quoting GASBS 34 Basis for Conclusions ¶314] — eliminating the effect of internal service fund activity requires preparers to look back and adjust the fund’s internal charges to break even; net income causes a pro rata reduction in charges and a net loss a pro rata increase</t>
  </si>
  <si>
    <t>Indiana State Board of Accounts — Accounting and Uniform Compliance Guidelines Manual, Chapter 13, Internal Service Funds: the goal is to break even rather than make a profit, and the predominant participants must be government</t>
  </si>
  <si>
    <t>Washington State Auditor — BARS Cash Manual, Equipment Rental and Revolving (ER&amp;R) Fund: rate structures should cover all costs associated with operating the fund, the fund should operate on a cost reimbursement basis without generating a profit, and fund balance should support timely replacement as determined during rate setting</t>
  </si>
  <si>
    <t>RCW 36.33A.010 — every Washington county shall establish an equipment rental and revolving fund by resolution, for the purchase, maintenance and repair of county road department equipment</t>
  </si>
  <si>
    <t>RCW 36.33A.040 — rental rates shall cover all costs of maintenance and repair, material and supplies, and the future replacement of the equipment, and are determined by the county engineer subject to annual review by the legislative body</t>
  </si>
  <si>
    <t>RCW 35.21.088 — every city over eight thousand population shall establish an equipment rental fund covering the salaries, wages and operations required to repair, replace, purchase and operate equipment</t>
  </si>
  <si>
    <t>MRSC — Fund balance and reserve policies. Local-government advisory nonprofit restating a GFOA best practice: at least 60 days (about 16.5–16.7%) of operating expenditures for the general fund and 45 days (about 12.3%) for enterprise funds. It gives no figure at all for internal service funds. Directional, and the 45-day figure is not an ISF target.</t>
  </si>
  <si>
    <t>GFOA — Internal service fund rate development and billing for fleet management (the guide’s citation). The material itself is behind a GFOA member login and was not readable when this template was built, so no constant, default or threshold anywhere in this kit comes from it.</t>
  </si>
  <si>
    <t>RTA — Why government fleets should move to an internal service fund model (the guide’s citation) — vendor-published, directional. Supplies no figure used here.</t>
  </si>
  <si>
    <t>Record your own decisions</t>
  </si>
  <si>
    <t>The guide asks you to write these down. They travel with the workbook.</t>
  </si>
  <si>
    <t>Fund number and name adopted, and the resolution or ordinance that adopted it:</t>
  </si>
  <si>
    <t>Legacy asset option recommended, and the memo or vote that records the decision:</t>
  </si>
  <si>
    <t>Working capital target adopted (days), the basis for it, and who approved it:</t>
  </si>
  <si>
    <t>Escalation basis used in the register, and where it came from:</t>
  </si>
  <si>
    <t>Parallel year start and end dates, and where the shadow statements are filed:</t>
  </si>
  <si>
    <t>About this template</t>
  </si>
  <si>
    <t>Published by Fleet Desk — https://fleetdesk.axionfleetai.com</t>
  </si>
  <si>
    <t>Free to use, adapt and distribute, including commercially. No attribution required.</t>
  </si>
  <si>
    <t>Sponsored by Axion (axionfleetai.com), which had no editorial control over this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</si>
</sst>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15" x14ac:knownFonts="1">
    <font>
      <color theme="1"/>
      <family val="2"/>
      <scheme val="minor"/>
      <sz val="11"/>
      <name val="Calibri"/>
    </font>
    <font>
      <b/>
      <sz val="14"/>
    </font>
    <font>
      <color rgb="FF666666"/>
      <sz val="9"/>
    </font>
    <font>
      <b/>
      <sz val="9"/>
    </font>
    <font>
      <sz val="10"/>
    </font>
    <font>
      <b/>
      <sz val="10"/>
    </font>
    <font>
      <b/>
      <color rgb="FF8A1C1C"/>
      <sz val="10"/>
    </font>
    <font>
      <b/>
      <color rgb="FFFFFFFF"/>
      <sz val="9"/>
    </font>
    <font>
      <i/>
      <sz val="9"/>
    </font>
    <font>
      <b/>
      <color rgb="FF23414B"/>
      <sz val="11"/>
    </font>
    <font>
      <b/>
      <sz val="12"/>
    </font>
    <font>
      <b/>
      <sz val="11"/>
    </font>
    <font>
      <i/>
      <sz val="10"/>
    </font>
    <font>
      <u/>
      <color rgb="FF1F5E70"/>
      <sz val="10"/>
    </font>
    <font>
      <b/>
      <color rgb="FF1F5E70"/>
      <sz val="8"/>
    </font>
  </fonts>
  <fills count="7">
    <fill>
      <patternFill patternType="none"/>
    </fill>
    <fill>
      <patternFill patternType="gray125"/>
    </fill>
    <fill>
      <patternFill patternType="solid">
        <fgColor rgb="FFFDF1D6"/>
      </patternFill>
    </fill>
    <fill>
      <patternFill patternType="solid">
        <fgColor rgb="FFE8EEF2"/>
      </patternFill>
    </fill>
    <fill>
      <patternFill patternType="solid">
        <fgColor rgb="FFFFF7CC"/>
      </patternFill>
    </fill>
    <fill>
      <patternFill patternType="solid">
        <fgColor rgb="FFF6D5D5"/>
      </patternFill>
    </fill>
    <fill>
      <patternFill patternType="solid">
        <fgColor rgb="FF23414B"/>
      </patternFill>
    </fill>
  </fills>
  <borders count="2">
    <border>
      <left/>
      <right/>
      <top/>
      <bottom/>
      <diagonal/>
    </border>
    <border>
      <left/>
      <right/>
      <top/>
      <bottom style="hair"/>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2" borderId="0" xfId="0" applyFont="1" applyFill="1"/>
    <xf numFmtId="0" fontId="3" fillId="3" borderId="0" xfId="0" applyFont="1" applyFill="1"/>
    <xf numFmtId="0" fontId="4" fillId="0" borderId="0" xfId="0" applyFont="1" applyAlignment="1">
      <alignment vertical="top" wrapText="1"/>
    </xf>
    <xf numFmtId="0" fontId="5" fillId="0" borderId="0" xfId="0" applyFont="1"/>
    <xf numFmtId="0" fontId="4" fillId="4" borderId="0" xfId="0" applyFont="1" applyFill="1"/>
    <xf numFmtId="0" fontId="5" fillId="0" borderId="0" xfId="0" applyFont="1" applyAlignment="1">
      <alignment vertical="top" wrapText="1"/>
    </xf>
    <xf numFmtId="0" fontId="0" fillId="2" borderId="0" xfId="0" applyFill="1"/>
    <xf numFmtId="0" fontId="6" fillId="5" borderId="0" xfId="0" applyFont="1" applyFill="1"/>
    <xf numFmtId="0" fontId="7" fillId="6" borderId="0" xfId="0" applyFont="1" applyFill="1" applyAlignment="1">
      <alignment vertical="bottom" wrapText="1"/>
    </xf>
    <xf numFmtId="3" fontId="0" fillId="2" borderId="0" xfId="0" applyNumberFormat="1" applyFill="1"/>
    <xf numFmtId="0" fontId="0" fillId="3" borderId="0" xfId="0" applyFill="1"/>
    <xf numFmtId="3" fontId="0" fillId="3" borderId="0" xfId="0" applyNumberFormat="1" applyFill="1"/>
    <xf numFmtId="4" fontId="0" fillId="3" borderId="0" xfId="0" applyNumberFormat="1" applyFill="1"/>
    <xf numFmtId="0" fontId="8" fillId="0" borderId="0" xfId="0" applyFont="1" applyAlignment="1">
      <alignment vertical="top" wrapText="1"/>
    </xf>
    <xf numFmtId="0" fontId="5" fillId="2" borderId="0" xfId="0" applyFont="1" applyFill="1"/>
    <xf numFmtId="0" fontId="9" fillId="0" borderId="0" xfId="0" applyFont="1"/>
    <xf numFmtId="0" fontId="10" fillId="0" borderId="0" xfId="0" applyFont="1"/>
    <xf numFmtId="164" fontId="0" fillId="3" borderId="0" xfId="0" applyNumberFormat="1" applyFill="1"/>
    <xf numFmtId="165" fontId="0" fillId="3" borderId="0" xfId="0" applyNumberFormat="1" applyFill="1"/>
    <xf numFmtId="4" fontId="0" fillId="2" borderId="0" xfId="0" applyNumberFormat="1" applyFill="1"/>
    <xf numFmtId="166" fontId="0" fillId="2" borderId="0" xfId="0" applyNumberFormat="1" applyFill="1"/>
    <xf numFmtId="0" fontId="8" fillId="3" borderId="0" xfId="0" applyFont="1" applyFill="1" applyAlignment="1">
      <alignment wrapText="1"/>
    </xf>
    <xf numFmtId="0" fontId="11" fillId="0" borderId="0" xfId="0" applyFont="1"/>
    <xf numFmtId="0" fontId="4" fillId="0" borderId="0" xfId="0" applyFont="1" applyAlignment="1">
      <alignment wrapText="1"/>
    </xf>
    <xf numFmtId="0" fontId="12" fillId="0" borderId="0" xfId="0" applyFont="1" applyAlignment="1">
      <alignment wrapText="1"/>
    </xf>
    <xf numFmtId="0" fontId="13" fillId="0" borderId="0" xfId="0" applyFont="1"/>
    <xf numFmtId="0" fontId="14" fillId="0" borderId="0" xfId="0" applyFont="1"/>
    <xf numFmtId="0" fontId="4" fillId="0" borderId="0" xfId="0" applyFont="1"/>
    <xf numFmtId="0" fontId="0" fillId="2" borderId="1" xfId="0" applyFill="1" applyBorder="1"/>
  </cellXfs>
  <cellStyles count="1">
    <cellStyle name="Normal" xfId="0" builtinId="0"/>
  </cellStyles>
  <dxfs count="3">
    <dxf>
      <fill>
        <patternFill patternType="solid">
          <fgColor rgb="FFFDE2E2"/>
        </patternFill>
      </fill>
    </dxf>
    <dxf>
      <fill>
        <patternFill patternType="solid">
          <fgColor rgb="FFFDE2E2"/>
        </patternFill>
      </fill>
    </dxf>
    <dxf>
      <fill>
        <patternFill patternType="solid">
          <f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storage.gasb.org/Sections_1100-3100.pdf" TargetMode="External"/><Relationship Id="rId2" Type="http://schemas.openxmlformats.org/officeDocument/2006/relationships/hyperlink" Target="https://storage.gasb.org/Sections_1100-3100.pdf" TargetMode="External"/><Relationship Id="rId3" Type="http://schemas.openxmlformats.org/officeDocument/2006/relationships/hyperlink" Target="https://storage.gasb.org/Sections_1100-3100.pdf" TargetMode="External"/><Relationship Id="rId4" Type="http://schemas.openxmlformats.org/officeDocument/2006/relationships/hyperlink" Target="https://storage.gasb.org/Sections_1100-3100.pdf" TargetMode="External"/><Relationship Id="rId5" Type="http://schemas.openxmlformats.org/officeDocument/2006/relationships/hyperlink" Target="https://secure.in.gov/sboa/files/CH13-Internal-Service-Funds_9-25.pdf" TargetMode="External"/><Relationship Id="rId6" Type="http://schemas.openxmlformats.org/officeDocument/2006/relationships/hyperlink" Target="https://sao.wa.gov/bars-annual-filing/bars-cash-manual/accounting/interfund-activities/equipment-rental-and-revolving-err-fund" TargetMode="External"/><Relationship Id="rId7" Type="http://schemas.openxmlformats.org/officeDocument/2006/relationships/hyperlink" Target="https://app.leg.wa.gov/rcw/default.aspx?cite=36.33A.010" TargetMode="External"/><Relationship Id="rId8" Type="http://schemas.openxmlformats.org/officeDocument/2006/relationships/hyperlink" Target="https://app.leg.wa.gov/rcw/default.aspx?cite=36.33A.040" TargetMode="External"/><Relationship Id="rId9" Type="http://schemas.openxmlformats.org/officeDocument/2006/relationships/hyperlink" Target="https://app.leg.wa.gov/rcw/default.aspx?cite=35.21.088" TargetMode="External"/><Relationship Id="rId10" Type="http://schemas.openxmlformats.org/officeDocument/2006/relationships/hyperlink" Target="https://mrsc.org/explore-topics/finance/policies/fund-balance-reserves" TargetMode="External"/><Relationship Id="rId11" Type="http://schemas.openxmlformats.org/officeDocument/2006/relationships/hyperlink" Target="https://www.gfoa.org/materials/internal-service-fund-rate-development-and-billing" TargetMode="External"/><Relationship Id="rId12" Type="http://schemas.openxmlformats.org/officeDocument/2006/relationships/hyperlink" Target="https://rtafleet.com/blog/why-government-fleets-should-move-to-an-internal-service-fund-model-and-how-to-sta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FormatPr defaultRowHeight="15" outlineLevelRow="0" outlineLevelCol="0" x14ac:dyDescent="55"/>
  <cols>
    <col min="1" max="1" width="96" customWidth="1"/>
  </cols>
  <sheetData>
    <row r="1" spans="1:1" x14ac:dyDescent="0.25">
      <c r="A1" s="1" t="s">
        <v>0</v>
      </c>
    </row>
    <row r="2" spans="1:1" x14ac:dyDescent="0.25">
      <c r="A2" s="2" t="s">
        <v>1</v>
      </c>
    </row>
    <row r="4" spans="1:6" x14ac:dyDescent="0.25">
      <c r="A4" s="3" t="s">
        <v>2</v>
      </c>
      <c r="B4" s="3"/>
      <c r="C4" s="3"/>
      <c r="D4" s="4" t="s">
        <v>3</v>
      </c>
      <c r="E4" s="4"/>
      <c r="F4" s="4"/>
    </row>
    <row r="6" ht="28" customHeight="1" spans="1:1" x14ac:dyDescent="0.25">
      <c r="A6" s="5" t="s">
        <v>4</v>
      </c>
    </row>
    <row r="7" ht="28" customHeight="1" spans="1:1" x14ac:dyDescent="0.25">
      <c r="A7" s="5" t="s">
        <v>5</v>
      </c>
    </row>
    <row r="8" ht="28" customHeight="1" spans="1:1" x14ac:dyDescent="0.25">
      <c r="A8" s="5" t="s">
        <v>6</v>
      </c>
    </row>
    <row r="9" ht="28" customHeight="1" spans="1:1" x14ac:dyDescent="0.25">
      <c r="A9" s="5" t="s">
        <v>7</v>
      </c>
    </row>
    <row r="10" ht="28" customHeight="1" spans="1:1" x14ac:dyDescent="0.25">
      <c r="A10" s="5" t="s">
        <v>8</v>
      </c>
    </row>
    <row r="11" ht="28" customHeight="1" spans="1:1" x14ac:dyDescent="0.25">
      <c r="A11" s="5" t="s">
        <v>9</v>
      </c>
    </row>
    <row r="12" ht="28" customHeight="1" spans="1:1" x14ac:dyDescent="0.25">
      <c r="A12" s="5" t="s">
        <v>10</v>
      </c>
    </row>
    <row r="13" ht="28" customHeight="1" spans="1:1" x14ac:dyDescent="0.25">
      <c r="A13" s="5" t="s">
        <v>11</v>
      </c>
    </row>
    <row r="14" ht="28" customHeight="1" spans="1:1" x14ac:dyDescent="0.25">
      <c r="A14" s="5" t="s">
        <v>12</v>
      </c>
    </row>
    <row r="15" ht="15" customHeight="1" spans="1:1" x14ac:dyDescent="0.25">
      <c r="A15" s="5" t="s">
        <v>13</v>
      </c>
    </row>
    <row r="17" spans="1:1" x14ac:dyDescent="0.25">
      <c r="A17" s="6" t="s">
        <v>14</v>
      </c>
    </row>
    <row r="18" spans="1:1" x14ac:dyDescent="0.25">
      <c r="A18" s="7" t="s">
        <v>15</v>
      </c>
    </row>
    <row r="19" spans="1:1" x14ac:dyDescent="0.25">
      <c r="A19" s="7" t="s">
        <v>16</v>
      </c>
    </row>
    <row r="20" spans="1:1" x14ac:dyDescent="0.25">
      <c r="A20" s="7" t="s">
        <v>17</v>
      </c>
    </row>
  </sheetData>
  <mergeCells count="2">
    <mergeCell ref="A4:C4"/>
    <mergeCell ref="D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2" width="11" customWidth="1"/>
    <col min="3" max="3" width="40" customWidth="1"/>
    <col min="4" max="4" width="10" customWidth="1"/>
    <col min="5" max="5" width="13" customWidth="1"/>
    <col min="6" max="6" width="12" customWidth="1"/>
    <col min="7" max="7" width="13" customWidth="1"/>
    <col min="8" max="8" width="10" customWidth="1"/>
    <col min="9" max="9" width="11" customWidth="1"/>
    <col min="10" max="10" width="13" customWidth="1"/>
    <col min="12" max="14" width="10" customWidth="1"/>
    <col min="15" max="15" width="12" customWidth="1"/>
    <col min="16" max="17" width="13" customWidth="1"/>
    <col min="18" max="19" width="12" customWidth="1"/>
    <col min="20" max="21" width="14" customWidth="1"/>
    <col min="22" max="23" width="13" customWidth="1"/>
  </cols>
  <sheetData>
    <row r="1" spans="1:2" x14ac:dyDescent="0.25">
      <c r="A1" s="8" t="s">
        <v>18</v>
      </c>
      <c r="B1" s="9">
        <v>2026</v>
      </c>
    </row>
    <row r="2" spans="1:6" x14ac:dyDescent="0.25">
      <c r="A2" s="3" t="s">
        <v>2</v>
      </c>
      <c r="B2" s="3"/>
      <c r="C2" s="3"/>
      <c r="D2" s="4" t="s">
        <v>3</v>
      </c>
      <c r="E2" s="4"/>
      <c r="F2" s="4"/>
    </row>
    <row r="3" spans="1:23" x14ac:dyDescent="0.25">
      <c r="A3" s="10" t="s">
        <v>19</v>
      </c>
      <c r="B3" s="10"/>
      <c r="C3" s="10"/>
      <c r="D3" s="10"/>
      <c r="E3" s="10"/>
      <c r="F3" s="10"/>
      <c r="G3" s="10"/>
      <c r="H3" s="10"/>
      <c r="I3" s="10"/>
      <c r="J3" s="10"/>
      <c r="K3" s="10"/>
      <c r="L3" s="10"/>
      <c r="M3" s="10"/>
      <c r="N3" s="10"/>
      <c r="O3" s="10"/>
      <c r="P3" s="10"/>
      <c r="Q3" s="10"/>
      <c r="R3" s="10"/>
      <c r="S3" s="10"/>
      <c r="T3" s="10"/>
      <c r="U3" s="10"/>
      <c r="V3" s="10"/>
      <c r="W3" s="10"/>
    </row>
    <row r="4" ht="30" customHeight="1" spans="1:23" x14ac:dyDescent="0.25">
      <c r="A4" s="11" t="s">
        <v>20</v>
      </c>
      <c r="B4" s="11" t="s">
        <v>21</v>
      </c>
      <c r="C4" s="11" t="s">
        <v>22</v>
      </c>
      <c r="D4" s="11" t="s">
        <v>23</v>
      </c>
      <c r="E4" s="11" t="s">
        <v>24</v>
      </c>
      <c r="F4" s="11" t="s">
        <v>25</v>
      </c>
      <c r="G4" s="11" t="s">
        <v>26</v>
      </c>
      <c r="H4" s="11" t="s">
        <v>27</v>
      </c>
      <c r="I4" s="11" t="s">
        <v>28</v>
      </c>
      <c r="J4" s="11" t="s">
        <v>29</v>
      </c>
      <c r="K4" s="11" t="s">
        <v>30</v>
      </c>
      <c r="L4" s="11" t="s">
        <v>31</v>
      </c>
      <c r="M4" s="11" t="s">
        <v>32</v>
      </c>
      <c r="N4" s="11" t="s">
        <v>33</v>
      </c>
      <c r="O4" s="11" t="s">
        <v>34</v>
      </c>
      <c r="P4" s="11" t="s">
        <v>35</v>
      </c>
      <c r="Q4" s="11" t="s">
        <v>36</v>
      </c>
      <c r="R4" s="11" t="s">
        <v>37</v>
      </c>
      <c r="S4" s="11" t="s">
        <v>38</v>
      </c>
      <c r="T4" s="11" t="s">
        <v>39</v>
      </c>
      <c r="U4" s="11" t="s">
        <v>40</v>
      </c>
      <c r="V4" s="11" t="s">
        <v>41</v>
      </c>
      <c r="W4" s="11" t="s">
        <v>42</v>
      </c>
    </row>
    <row r="5" spans="1:23" x14ac:dyDescent="0.25">
      <c r="A5" s="9" t="s">
        <v>43</v>
      </c>
      <c r="B5" s="9" t="s">
        <v>44</v>
      </c>
      <c r="C5" s="9" t="s">
        <v>45</v>
      </c>
      <c r="D5" s="9">
        <v>2021</v>
      </c>
      <c r="E5" s="12">
        <v>31000</v>
      </c>
      <c r="F5" s="9">
        <v>8</v>
      </c>
      <c r="G5" s="12">
        <v>34000</v>
      </c>
      <c r="H5" s="9">
        <v>4</v>
      </c>
      <c r="I5" s="12">
        <v>7000</v>
      </c>
      <c r="J5" s="12">
        <v>0</v>
      </c>
      <c r="K5" s="13">
        <f>MAX($B$1-D5,0)</f>
      </c>
      <c r="L5" s="13">
        <f>MIN(K5,MAX(F5,0))</f>
      </c>
      <c r="M5" s="13">
        <f>MAX(MAX(F5,0)-K5,0)</f>
      </c>
      <c r="N5" s="13">
        <f>D5+MAX(F5,0)</f>
      </c>
      <c r="O5" s="13">
        <f>MAX(N5,$B$1)</f>
      </c>
      <c r="P5" s="14">
        <f>G5*(1+H5/100)^M5</f>
      </c>
      <c r="Q5" s="14">
        <f>MAX(0,P5-I5)</f>
      </c>
      <c r="R5" s="14">
        <f>IFERROR(Q5/MAX(F5,0),0)</f>
      </c>
      <c r="S5" s="15">
        <f>R5/12</f>
      </c>
      <c r="T5" s="14">
        <f>R5*L5</f>
      </c>
      <c r="U5" s="14">
        <f>T5-J5</f>
      </c>
      <c r="V5" s="14">
        <f>IFERROR(E5/MAX(F5,0)*L5,0)</f>
      </c>
      <c r="W5" s="14">
        <f>E5-V5</f>
      </c>
    </row>
    <row r="6" spans="1:23" x14ac:dyDescent="0.25">
      <c r="A6" s="9" t="s">
        <v>46</v>
      </c>
      <c r="B6" s="9" t="s">
        <v>44</v>
      </c>
      <c r="C6" s="9" t="s">
        <v>47</v>
      </c>
      <c r="D6" s="9">
        <v>2018</v>
      </c>
      <c r="E6" s="12">
        <v>27500</v>
      </c>
      <c r="F6" s="9">
        <v>8</v>
      </c>
      <c r="G6" s="12">
        <v>34000</v>
      </c>
      <c r="H6" s="9">
        <v>4</v>
      </c>
      <c r="I6" s="12">
        <v>7000</v>
      </c>
      <c r="J6" s="12">
        <v>0</v>
      </c>
      <c r="K6" s="13">
        <f>MAX($B$1-D6,0)</f>
      </c>
      <c r="L6" s="13">
        <f>MIN(K6,MAX(F6,0))</f>
      </c>
      <c r="M6" s="13">
        <f>MAX(MAX(F6,0)-K6,0)</f>
      </c>
      <c r="N6" s="13">
        <f>D6+MAX(F6,0)</f>
      </c>
      <c r="O6" s="13">
        <f>MAX(N6,$B$1)</f>
      </c>
      <c r="P6" s="14">
        <f>G6*(1+H6/100)^M6</f>
      </c>
      <c r="Q6" s="14">
        <f>MAX(0,P6-I6)</f>
      </c>
      <c r="R6" s="14">
        <f>IFERROR(Q6/MAX(F6,0),0)</f>
      </c>
      <c r="S6" s="15">
        <f>R6/12</f>
      </c>
      <c r="T6" s="14">
        <f>R6*L6</f>
      </c>
      <c r="U6" s="14">
        <f>T6-J6</f>
      </c>
      <c r="V6" s="14">
        <f>IFERROR(E6/MAX(F6,0)*L6,0)</f>
      </c>
      <c r="W6" s="14">
        <f>E6-V6</f>
      </c>
    </row>
    <row r="7" spans="1:23" x14ac:dyDescent="0.25">
      <c r="A7" s="9" t="s">
        <v>48</v>
      </c>
      <c r="B7" s="9" t="s">
        <v>49</v>
      </c>
      <c r="C7" s="9" t="s">
        <v>50</v>
      </c>
      <c r="D7" s="9">
        <v>2020</v>
      </c>
      <c r="E7" s="12">
        <v>44000</v>
      </c>
      <c r="F7" s="9">
        <v>8</v>
      </c>
      <c r="G7" s="12">
        <v>52000</v>
      </c>
      <c r="H7" s="9">
        <v>4</v>
      </c>
      <c r="I7" s="12">
        <v>14000</v>
      </c>
      <c r="J7" s="12">
        <v>0</v>
      </c>
      <c r="K7" s="13">
        <f>MAX($B$1-D7,0)</f>
      </c>
      <c r="L7" s="13">
        <f>MIN(K7,MAX(F7,0))</f>
      </c>
      <c r="M7" s="13">
        <f>MAX(MAX(F7,0)-K7,0)</f>
      </c>
      <c r="N7" s="13">
        <f>D7+MAX(F7,0)</f>
      </c>
      <c r="O7" s="13">
        <f>MAX(N7,$B$1)</f>
      </c>
      <c r="P7" s="14">
        <f>G7*(1+H7/100)^M7</f>
      </c>
      <c r="Q7" s="14">
        <f>MAX(0,P7-I7)</f>
      </c>
      <c r="R7" s="14">
        <f>IFERROR(Q7/MAX(F7,0),0)</f>
      </c>
      <c r="S7" s="15">
        <f>R7/12</f>
      </c>
      <c r="T7" s="14">
        <f>R7*L7</f>
      </c>
      <c r="U7" s="14">
        <f>T7-J7</f>
      </c>
      <c r="V7" s="14">
        <f>IFERROR(E7/MAX(F7,0)*L7,0)</f>
      </c>
      <c r="W7" s="14">
        <f>E7-V7</f>
      </c>
    </row>
    <row r="8" spans="1:23" x14ac:dyDescent="0.25">
      <c r="A8" s="9" t="s">
        <v>51</v>
      </c>
      <c r="B8" s="9" t="s">
        <v>49</v>
      </c>
      <c r="C8" s="9" t="s">
        <v>52</v>
      </c>
      <c r="D8" s="9">
        <v>2019</v>
      </c>
      <c r="E8" s="12">
        <v>42000</v>
      </c>
      <c r="F8" s="9">
        <v>8</v>
      </c>
      <c r="G8" s="12">
        <v>52000</v>
      </c>
      <c r="H8" s="9">
        <v>4</v>
      </c>
      <c r="I8" s="12">
        <v>14000</v>
      </c>
      <c r="J8" s="12">
        <v>0</v>
      </c>
      <c r="K8" s="13">
        <f>MAX($B$1-D8,0)</f>
      </c>
      <c r="L8" s="13">
        <f>MIN(K8,MAX(F8,0))</f>
      </c>
      <c r="M8" s="13">
        <f>MAX(MAX(F8,0)-K8,0)</f>
      </c>
      <c r="N8" s="13">
        <f>D8+MAX(F8,0)</f>
      </c>
      <c r="O8" s="13">
        <f>MAX(N8,$B$1)</f>
      </c>
      <c r="P8" s="14">
        <f>G8*(1+H8/100)^M8</f>
      </c>
      <c r="Q8" s="14">
        <f>MAX(0,P8-I8)</f>
      </c>
      <c r="R8" s="14">
        <f>IFERROR(Q8/MAX(F8,0),0)</f>
      </c>
      <c r="S8" s="15">
        <f>R8/12</f>
      </c>
      <c r="T8" s="14">
        <f>R8*L8</f>
      </c>
      <c r="U8" s="14">
        <f>T8-J8</f>
      </c>
      <c r="V8" s="14">
        <f>IFERROR(E8/MAX(F8,0)*L8,0)</f>
      </c>
      <c r="W8" s="14">
        <f>E8-V8</f>
      </c>
    </row>
    <row r="9" spans="1:23" x14ac:dyDescent="0.25">
      <c r="A9" s="9" t="s">
        <v>53</v>
      </c>
      <c r="B9" s="9" t="s">
        <v>49</v>
      </c>
      <c r="C9" s="9" t="s">
        <v>54</v>
      </c>
      <c r="D9" s="9">
        <v>2023</v>
      </c>
      <c r="E9" s="12">
        <v>49500</v>
      </c>
      <c r="F9" s="9">
        <v>8</v>
      </c>
      <c r="G9" s="12">
        <v>52000</v>
      </c>
      <c r="H9" s="9">
        <v>4</v>
      </c>
      <c r="I9" s="12">
        <v>14000</v>
      </c>
      <c r="J9" s="12">
        <v>0</v>
      </c>
      <c r="K9" s="13">
        <f>MAX($B$1-D9,0)</f>
      </c>
      <c r="L9" s="13">
        <f>MIN(K9,MAX(F9,0))</f>
      </c>
      <c r="M9" s="13">
        <f>MAX(MAX(F9,0)-K9,0)</f>
      </c>
      <c r="N9" s="13">
        <f>D9+MAX(F9,0)</f>
      </c>
      <c r="O9" s="13">
        <f>MAX(N9,$B$1)</f>
      </c>
      <c r="P9" s="14">
        <f>G9*(1+H9/100)^M9</f>
      </c>
      <c r="Q9" s="14">
        <f>MAX(0,P9-I9)</f>
      </c>
      <c r="R9" s="14">
        <f>IFERROR(Q9/MAX(F9,0),0)</f>
      </c>
      <c r="S9" s="15">
        <f>R9/12</f>
      </c>
      <c r="T9" s="14">
        <f>R9*L9</f>
      </c>
      <c r="U9" s="14">
        <f>T9-J9</f>
      </c>
      <c r="V9" s="14">
        <f>IFERROR(E9/MAX(F9,0)*L9,0)</f>
      </c>
      <c r="W9" s="14">
        <f>E9-V9</f>
      </c>
    </row>
    <row r="10" spans="1:23" x14ac:dyDescent="0.25">
      <c r="A10" s="9" t="s">
        <v>55</v>
      </c>
      <c r="B10" s="9" t="s">
        <v>56</v>
      </c>
      <c r="C10" s="9" t="s">
        <v>57</v>
      </c>
      <c r="D10" s="9">
        <v>2018</v>
      </c>
      <c r="E10" s="12">
        <v>178000</v>
      </c>
      <c r="F10" s="9">
        <v>12</v>
      </c>
      <c r="G10" s="12">
        <v>215000</v>
      </c>
      <c r="H10" s="9">
        <v>4.5</v>
      </c>
      <c r="I10" s="12">
        <v>30000</v>
      </c>
      <c r="J10" s="12">
        <v>42000</v>
      </c>
      <c r="K10" s="13">
        <f>MAX($B$1-D10,0)</f>
      </c>
      <c r="L10" s="13">
        <f>MIN(K10,MAX(F10,0))</f>
      </c>
      <c r="M10" s="13">
        <f>MAX(MAX(F10,0)-K10,0)</f>
      </c>
      <c r="N10" s="13">
        <f>D10+MAX(F10,0)</f>
      </c>
      <c r="O10" s="13">
        <f>MAX(N10,$B$1)</f>
      </c>
      <c r="P10" s="14">
        <f>G10*(1+H10/100)^M10</f>
      </c>
      <c r="Q10" s="14">
        <f>MAX(0,P10-I10)</f>
      </c>
      <c r="R10" s="14">
        <f>IFERROR(Q10/MAX(F10,0),0)</f>
      </c>
      <c r="S10" s="15">
        <f>R10/12</f>
      </c>
      <c r="T10" s="14">
        <f>R10*L10</f>
      </c>
      <c r="U10" s="14">
        <f>T10-J10</f>
      </c>
      <c r="V10" s="14">
        <f>IFERROR(E10/MAX(F10,0)*L10,0)</f>
      </c>
      <c r="W10" s="14">
        <f>E10-V10</f>
      </c>
    </row>
    <row r="11" spans="1:23" x14ac:dyDescent="0.25">
      <c r="A11" s="9" t="s">
        <v>58</v>
      </c>
      <c r="B11" s="9" t="s">
        <v>56</v>
      </c>
      <c r="C11" s="9" t="s">
        <v>59</v>
      </c>
      <c r="D11" s="9">
        <v>2012</v>
      </c>
      <c r="E11" s="12">
        <v>141000</v>
      </c>
      <c r="F11" s="9">
        <v>12</v>
      </c>
      <c r="G11" s="12">
        <v>215000</v>
      </c>
      <c r="H11" s="9">
        <v>4.5</v>
      </c>
      <c r="I11" s="12">
        <v>30000</v>
      </c>
      <c r="J11" s="12">
        <v>0</v>
      </c>
      <c r="K11" s="13">
        <f>MAX($B$1-D11,0)</f>
      </c>
      <c r="L11" s="13">
        <f>MIN(K11,MAX(F11,0))</f>
      </c>
      <c r="M11" s="13">
        <f>MAX(MAX(F11,0)-K11,0)</f>
      </c>
      <c r="N11" s="13">
        <f>D11+MAX(F11,0)</f>
      </c>
      <c r="O11" s="13">
        <f>MAX(N11,$B$1)</f>
      </c>
      <c r="P11" s="14">
        <f>G11*(1+H11/100)^M11</f>
      </c>
      <c r="Q11" s="14">
        <f>MAX(0,P11-I11)</f>
      </c>
      <c r="R11" s="14">
        <f>IFERROR(Q11/MAX(F11,0),0)</f>
      </c>
      <c r="S11" s="15">
        <f>R11/12</f>
      </c>
      <c r="T11" s="14">
        <f>R11*L11</f>
      </c>
      <c r="U11" s="14">
        <f>T11-J11</f>
      </c>
      <c r="V11" s="14">
        <f>IFERROR(E11/MAX(F11,0)*L11,0)</f>
      </c>
      <c r="W11" s="14">
        <f>E11-V11</f>
      </c>
    </row>
    <row r="12" spans="1:23" x14ac:dyDescent="0.25">
      <c r="A12" s="9" t="s">
        <v>60</v>
      </c>
      <c r="B12" s="9" t="s">
        <v>61</v>
      </c>
      <c r="C12" s="9" t="s">
        <v>62</v>
      </c>
      <c r="D12" s="9">
        <v>2019</v>
      </c>
      <c r="E12" s="12">
        <v>288000</v>
      </c>
      <c r="F12" s="9">
        <v>10</v>
      </c>
      <c r="G12" s="12">
        <v>340000</v>
      </c>
      <c r="H12" s="9">
        <v>5</v>
      </c>
      <c r="I12" s="12">
        <v>35000</v>
      </c>
      <c r="J12" s="12">
        <v>95000</v>
      </c>
      <c r="K12" s="13">
        <f>MAX($B$1-D12,0)</f>
      </c>
      <c r="L12" s="13">
        <f>MIN(K12,MAX(F12,0))</f>
      </c>
      <c r="M12" s="13">
        <f>MAX(MAX(F12,0)-K12,0)</f>
      </c>
      <c r="N12" s="13">
        <f>D12+MAX(F12,0)</f>
      </c>
      <c r="O12" s="13">
        <f>MAX(N12,$B$1)</f>
      </c>
      <c r="P12" s="14">
        <f>G12*(1+H12/100)^M12</f>
      </c>
      <c r="Q12" s="14">
        <f>MAX(0,P12-I12)</f>
      </c>
      <c r="R12" s="14">
        <f>IFERROR(Q12/MAX(F12,0),0)</f>
      </c>
      <c r="S12" s="15">
        <f>R12/12</f>
      </c>
      <c r="T12" s="14">
        <f>R12*L12</f>
      </c>
      <c r="U12" s="14">
        <f>T12-J12</f>
      </c>
      <c r="V12" s="14">
        <f>IFERROR(E12/MAX(F12,0)*L12,0)</f>
      </c>
      <c r="W12" s="14">
        <f>E12-V12</f>
      </c>
    </row>
    <row r="14" ht="44" customHeight="1" spans="1:10" x14ac:dyDescent="0.25">
      <c r="A14" s="16" t="s">
        <v>63</v>
      </c>
      <c r="B14" s="16"/>
      <c r="C14" s="16"/>
      <c r="D14" s="16"/>
      <c r="E14" s="16"/>
      <c r="F14" s="16"/>
      <c r="G14" s="16"/>
      <c r="H14" s="16"/>
      <c r="I14" s="16"/>
      <c r="J14" s="16"/>
    </row>
    <row r="15" ht="44" customHeight="1" spans="1:10" x14ac:dyDescent="0.25">
      <c r="A15" s="16" t="s">
        <v>64</v>
      </c>
      <c r="B15" s="16"/>
      <c r="C15" s="16"/>
      <c r="D15" s="16"/>
      <c r="E15" s="16"/>
      <c r="F15" s="16"/>
      <c r="G15" s="16"/>
      <c r="H15" s="16"/>
      <c r="I15" s="16"/>
      <c r="J15" s="16"/>
    </row>
    <row r="16" ht="44" customHeight="1" spans="1:10" x14ac:dyDescent="0.25">
      <c r="A16" s="16" t="s">
        <v>65</v>
      </c>
      <c r="B16" s="16"/>
      <c r="C16" s="16"/>
      <c r="D16" s="16"/>
      <c r="E16" s="16"/>
      <c r="F16" s="16"/>
      <c r="G16" s="16"/>
      <c r="H16" s="16"/>
      <c r="I16" s="16"/>
      <c r="J16" s="16"/>
    </row>
  </sheetData>
  <mergeCells count="6">
    <mergeCell ref="A2:C2"/>
    <mergeCell ref="D2:F2"/>
    <mergeCell ref="A3:W3"/>
    <mergeCell ref="A14:J14"/>
    <mergeCell ref="A15:J15"/>
    <mergeCell ref="A16:J16"/>
  </mergeCells>
  <conditionalFormatting sqref="U5:U12">
    <cfRule type="cellIs" dxfId="0" priority="1" operator="greaterThan">
      <formula>0</formula>
    </cfRule>
  </conditionalFormatting>
  <pageMargins left="0.4" right="0.4" top="0.5" bottom="0.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pane xSplit="1" ySplit="3" topLeftCell="B4" activePane="bottomRight" state="frozen"/>
      <selection pane="bottomRight"/>
    </sheetView>
  </sheetViews>
  <sheetFormatPr defaultRowHeight="15" outlineLevelRow="0" outlineLevelCol="0" x14ac:dyDescent="55"/>
  <cols>
    <col min="1" max="1" width="58" customWidth="1"/>
    <col min="2" max="2" width="14" customWidth="1"/>
    <col min="3" max="3" width="20" customWidth="1"/>
    <col min="4" max="4" width="15" customWidth="1"/>
    <col min="5" max="5" width="13" customWidth="1"/>
    <col min="6" max="6" width="14" customWidth="1"/>
    <col min="7" max="9" width="13" customWidth="1"/>
  </cols>
  <sheetData>
    <row r="1" spans="1:6" x14ac:dyDescent="0.25">
      <c r="A1" s="3" t="s">
        <v>2</v>
      </c>
      <c r="B1" s="3"/>
      <c r="C1" s="3"/>
      <c r="D1" s="4" t="s">
        <v>3</v>
      </c>
      <c r="E1" s="4"/>
      <c r="F1" s="4"/>
    </row>
    <row r="2" spans="1:9" x14ac:dyDescent="0.25">
      <c r="A2" s="10" t="s">
        <v>19</v>
      </c>
      <c r="B2" s="10"/>
      <c r="C2" s="10"/>
      <c r="D2" s="10"/>
      <c r="E2" s="10"/>
      <c r="F2" s="10"/>
      <c r="G2" s="10"/>
      <c r="H2" s="10"/>
      <c r="I2" s="10"/>
    </row>
    <row r="3" ht="30" customHeight="1" spans="1:9" x14ac:dyDescent="0.25">
      <c r="A3" s="11" t="s">
        <v>21</v>
      </c>
      <c r="B3" s="11" t="s">
        <v>66</v>
      </c>
      <c r="C3" s="11" t="s">
        <v>36</v>
      </c>
      <c r="D3" s="11" t="s">
        <v>39</v>
      </c>
      <c r="E3" s="11" t="s">
        <v>67</v>
      </c>
      <c r="F3" s="11" t="s">
        <v>40</v>
      </c>
      <c r="G3" s="11" t="s">
        <v>68</v>
      </c>
      <c r="H3" s="11" t="s">
        <v>69</v>
      </c>
      <c r="I3" s="11" t="s">
        <v>42</v>
      </c>
    </row>
    <row r="4" spans="1:9" x14ac:dyDescent="0.25">
      <c r="A4" s="17" t="s">
        <v>44</v>
      </c>
      <c r="B4" s="14">
        <f>COUNTIF('Asset register'!$B$5:$B$405,$A4)</f>
      </c>
      <c r="C4" s="14">
        <f>SUMIFS('Asset register'!$Q$5:$Q$405,'Asset register'!$B$5:$B$405,$A4)</f>
      </c>
      <c r="D4" s="14">
        <f>SUMIFS('Asset register'!$T$5:$T$405,'Asset register'!$B$5:$B$405,$A4)</f>
      </c>
      <c r="E4" s="14">
        <f>SUMIFS('Asset register'!$J$5:$J$405,'Asset register'!$B$5:$B$405,$A4)</f>
      </c>
      <c r="F4" s="14">
        <f>D4-E4</f>
      </c>
      <c r="G4" s="14">
        <f>SUMIFS('Asset register'!$R$5:$R$405,'Asset register'!$B$5:$B$405,$A4)</f>
      </c>
      <c r="H4" s="15">
        <f>IFERROR(F4/($B11*12)/B4,"")</f>
      </c>
      <c r="I4" s="14">
        <f>SUMIFS('Asset register'!$W$5:$W$405,'Asset register'!$B$5:$B$405,$A4)</f>
      </c>
    </row>
    <row r="5" spans="1:9" x14ac:dyDescent="0.25">
      <c r="A5" s="17" t="s">
        <v>49</v>
      </c>
      <c r="B5" s="14">
        <f>COUNTIF('Asset register'!$B$5:$B$405,$A5)</f>
      </c>
      <c r="C5" s="14">
        <f>SUMIFS('Asset register'!$Q$5:$Q$405,'Asset register'!$B$5:$B$405,$A5)</f>
      </c>
      <c r="D5" s="14">
        <f>SUMIFS('Asset register'!$T$5:$T$405,'Asset register'!$B$5:$B$405,$A5)</f>
      </c>
      <c r="E5" s="14">
        <f>SUMIFS('Asset register'!$J$5:$J$405,'Asset register'!$B$5:$B$405,$A5)</f>
      </c>
      <c r="F5" s="14">
        <f>D5-E5</f>
      </c>
      <c r="G5" s="14">
        <f>SUMIFS('Asset register'!$R$5:$R$405,'Asset register'!$B$5:$B$405,$A5)</f>
      </c>
      <c r="H5" s="15">
        <f>IFERROR(F5/($B11*12)/B5,"")</f>
      </c>
      <c r="I5" s="14">
        <f>SUMIFS('Asset register'!$W$5:$W$405,'Asset register'!$B$5:$B$405,$A5)</f>
      </c>
    </row>
    <row r="6" spans="1:9" x14ac:dyDescent="0.25">
      <c r="A6" s="17" t="s">
        <v>56</v>
      </c>
      <c r="B6" s="14">
        <f>COUNTIF('Asset register'!$B$5:$B$405,$A6)</f>
      </c>
      <c r="C6" s="14">
        <f>SUMIFS('Asset register'!$Q$5:$Q$405,'Asset register'!$B$5:$B$405,$A6)</f>
      </c>
      <c r="D6" s="14">
        <f>SUMIFS('Asset register'!$T$5:$T$405,'Asset register'!$B$5:$B$405,$A6)</f>
      </c>
      <c r="E6" s="14">
        <f>SUMIFS('Asset register'!$J$5:$J$405,'Asset register'!$B$5:$B$405,$A6)</f>
      </c>
      <c r="F6" s="14">
        <f>D6-E6</f>
      </c>
      <c r="G6" s="14">
        <f>SUMIFS('Asset register'!$R$5:$R$405,'Asset register'!$B$5:$B$405,$A6)</f>
      </c>
      <c r="H6" s="15">
        <f>IFERROR(F6/($B11*12)/B6,"")</f>
      </c>
      <c r="I6" s="14">
        <f>SUMIFS('Asset register'!$W$5:$W$405,'Asset register'!$B$5:$B$405,$A6)</f>
      </c>
    </row>
    <row r="7" spans="1:9" x14ac:dyDescent="0.25">
      <c r="A7" s="17" t="s">
        <v>61</v>
      </c>
      <c r="B7" s="14">
        <f>COUNTIF('Asset register'!$B$5:$B$405,$A7)</f>
      </c>
      <c r="C7" s="14">
        <f>SUMIFS('Asset register'!$Q$5:$Q$405,'Asset register'!$B$5:$B$405,$A7)</f>
      </c>
      <c r="D7" s="14">
        <f>SUMIFS('Asset register'!$T$5:$T$405,'Asset register'!$B$5:$B$405,$A7)</f>
      </c>
      <c r="E7" s="14">
        <f>SUMIFS('Asset register'!$J$5:$J$405,'Asset register'!$B$5:$B$405,$A7)</f>
      </c>
      <c r="F7" s="14">
        <f>D7-E7</f>
      </c>
      <c r="G7" s="14">
        <f>SUMIFS('Asset register'!$R$5:$R$405,'Asset register'!$B$5:$B$405,$A7)</f>
      </c>
      <c r="H7" s="15">
        <f>IFERROR(F7/($B11*12)/B7,"")</f>
      </c>
      <c r="I7" s="14">
        <f>SUMIFS('Asset register'!$W$5:$W$405,'Asset register'!$B$5:$B$405,$A7)</f>
      </c>
    </row>
    <row r="8" spans="1:9" x14ac:dyDescent="0.25">
      <c r="A8" s="6" t="s">
        <v>70</v>
      </c>
      <c r="B8" s="14">
        <f>SUM(B4:B7)</f>
      </c>
      <c r="C8" s="14">
        <f>SUM(C4:C7)</f>
      </c>
      <c r="D8" s="14">
        <f>SUM(D4:D7)</f>
      </c>
      <c r="E8" s="14">
        <f>SUM(E4:E7)</f>
      </c>
      <c r="F8" s="14">
        <f>SUM(F4:F7)</f>
      </c>
      <c r="G8" s="14">
        <f>SUM(G4:G7)</f>
      </c>
      <c r="H8" s="15">
        <f>IFERROR($F$8/($B11*12)/$B$8,"")</f>
      </c>
      <c r="I8" s="14">
        <f>SUM(I4:I7)</f>
      </c>
    </row>
    <row r="10" spans="1:9" x14ac:dyDescent="0.25">
      <c r="A10" s="18" t="s">
        <v>71</v>
      </c>
      <c r="B10" s="18"/>
      <c r="C10" s="18"/>
      <c r="D10" s="18"/>
      <c r="E10" s="18"/>
      <c r="F10" s="18"/>
      <c r="G10" s="18"/>
      <c r="H10" s="18"/>
      <c r="I10" s="18"/>
    </row>
    <row r="11" spans="1:2" x14ac:dyDescent="0.25">
      <c r="A11" s="5" t="s">
        <v>72</v>
      </c>
      <c r="B11" s="9">
        <v>5</v>
      </c>
    </row>
    <row r="12" spans="1:2" x14ac:dyDescent="0.25">
      <c r="A12" s="5" t="s">
        <v>73</v>
      </c>
      <c r="B12" s="12">
        <v>250000</v>
      </c>
    </row>
    <row r="14" spans="1:9" x14ac:dyDescent="0.25">
      <c r="A14" s="18" t="s">
        <v>74</v>
      </c>
      <c r="B14" s="18"/>
      <c r="C14" s="18"/>
      <c r="D14" s="18"/>
      <c r="E14" s="18"/>
      <c r="F14" s="18"/>
      <c r="G14" s="18"/>
      <c r="H14" s="18"/>
      <c r="I14" s="18"/>
    </row>
    <row r="15" ht="30" customHeight="1" spans="1:3" x14ac:dyDescent="0.25">
      <c r="A15" s="11" t="s">
        <v>75</v>
      </c>
      <c r="B15" s="11" t="s">
        <v>76</v>
      </c>
      <c r="C15" s="11" t="s">
        <v>77</v>
      </c>
    </row>
    <row r="16" spans="1:3" x14ac:dyDescent="0.25">
      <c r="A16" s="13">
        <f>'Asset register'!$B$1</f>
      </c>
      <c r="B16" s="14">
        <f>COUNTIF('Asset register'!$O$5:$O$405,$A16)</f>
      </c>
      <c r="C16" s="14">
        <f>SUMIFS('Asset register'!$U$5:$U$405,'Asset register'!$O$5:$O$405,$A16)</f>
      </c>
    </row>
    <row r="17" spans="1:3" x14ac:dyDescent="0.25">
      <c r="A17" s="13">
        <f>A16+1</f>
      </c>
      <c r="B17" s="14">
        <f>COUNTIF('Asset register'!$O$5:$O$405,$A17)</f>
      </c>
      <c r="C17" s="14">
        <f>SUMIFS('Asset register'!$U$5:$U$405,'Asset register'!$O$5:$O$405,$A17)</f>
      </c>
    </row>
    <row r="18" spans="1:3" x14ac:dyDescent="0.25">
      <c r="A18" s="13">
        <f>A17+1</f>
      </c>
      <c r="B18" s="14">
        <f>COUNTIF('Asset register'!$O$5:$O$405,$A18)</f>
      </c>
      <c r="C18" s="14">
        <f>SUMIFS('Asset register'!$U$5:$U$405,'Asset register'!$O$5:$O$405,$A18)</f>
      </c>
    </row>
    <row r="19" spans="1:3" x14ac:dyDescent="0.25">
      <c r="A19" s="13">
        <f>A18+1</f>
      </c>
      <c r="B19" s="14">
        <f>COUNTIF('Asset register'!$O$5:$O$405,$A19)</f>
      </c>
      <c r="C19" s="14">
        <f>SUMIFS('Asset register'!$U$5:$U$405,'Asset register'!$O$5:$O$405,$A19)</f>
      </c>
    </row>
    <row r="20" spans="1:3" x14ac:dyDescent="0.25">
      <c r="A20" s="13">
        <f>A19+1</f>
      </c>
      <c r="B20" s="14">
        <f>COUNTIF('Asset register'!$O$5:$O$405,$A20)</f>
      </c>
      <c r="C20" s="14">
        <f>SUMIFS('Asset register'!$U$5:$U$405,'Asset register'!$O$5:$O$405,$A20)</f>
      </c>
    </row>
    <row r="21" spans="1:3" x14ac:dyDescent="0.25">
      <c r="A21" s="13">
        <f>A20+1</f>
      </c>
      <c r="B21" s="14">
        <f>COUNTIF('Asset register'!$O$5:$O$405,$A21)</f>
      </c>
      <c r="C21" s="14">
        <f>SUMIFS('Asset register'!$U$5:$U$405,'Asset register'!$O$5:$O$405,$A21)</f>
      </c>
    </row>
    <row r="22" spans="1:3" x14ac:dyDescent="0.25">
      <c r="A22" s="13">
        <f>A21+1</f>
      </c>
      <c r="B22" s="14">
        <f>COUNTIF('Asset register'!$O$5:$O$405,$A22)</f>
      </c>
      <c r="C22" s="14">
        <f>SUMIFS('Asset register'!$U$5:$U$405,'Asset register'!$O$5:$O$405,$A22)</f>
      </c>
    </row>
    <row r="23" spans="1:3" x14ac:dyDescent="0.25">
      <c r="A23" s="13">
        <f>A22+1</f>
      </c>
      <c r="B23" s="14">
        <f>COUNTIF('Asset register'!$O$5:$O$405,$A23)</f>
      </c>
      <c r="C23" s="14">
        <f>SUMIFS('Asset register'!$U$5:$U$405,'Asset register'!$O$5:$O$405,$A23)</f>
      </c>
    </row>
    <row r="24" spans="1:3" x14ac:dyDescent="0.25">
      <c r="A24" s="8" t="s">
        <v>70</v>
      </c>
      <c r="B24" s="14">
        <f>SUM(B16:B23)</f>
      </c>
      <c r="C24" s="14">
        <f>SUM(C16:C23)</f>
      </c>
    </row>
    <row r="25" spans="1:2" x14ac:dyDescent="0.25">
      <c r="A25" s="8" t="s">
        <v>78</v>
      </c>
      <c r="B25" s="14">
        <f>MAX(C16:C23)</f>
      </c>
    </row>
    <row r="27" spans="1:9" x14ac:dyDescent="0.25">
      <c r="A27" s="18" t="s">
        <v>79</v>
      </c>
      <c r="B27" s="18"/>
      <c r="C27" s="18"/>
      <c r="D27" s="18"/>
      <c r="E27" s="18"/>
      <c r="F27" s="18"/>
      <c r="G27" s="18"/>
      <c r="H27" s="18"/>
      <c r="I27" s="18"/>
    </row>
    <row r="28" spans="1:2" x14ac:dyDescent="0.25">
      <c r="A28" s="5" t="s">
        <v>80</v>
      </c>
      <c r="B28" s="15">
        <f>IFERROR($F$8/($B11*12)/$B$8,"")</f>
      </c>
    </row>
    <row r="29" ht="30" customHeight="1" spans="1:9" x14ac:dyDescent="0.25">
      <c r="A29" s="16" t="s">
        <v>81</v>
      </c>
      <c r="B29" s="16"/>
      <c r="C29" s="16"/>
      <c r="D29" s="16"/>
      <c r="E29" s="16"/>
      <c r="F29" s="16"/>
      <c r="G29" s="16"/>
      <c r="H29" s="16"/>
      <c r="I29" s="16"/>
    </row>
    <row r="31" spans="1:9" x14ac:dyDescent="0.25">
      <c r="A31" s="18" t="s">
        <v>82</v>
      </c>
      <c r="B31" s="18"/>
      <c r="C31" s="18"/>
      <c r="D31" s="18"/>
      <c r="E31" s="18"/>
      <c r="F31" s="18"/>
      <c r="G31" s="18"/>
      <c r="H31" s="18"/>
      <c r="I31" s="18"/>
    </row>
    <row r="32" spans="1:2" x14ac:dyDescent="0.25">
      <c r="A32" s="5" t="s">
        <v>83</v>
      </c>
      <c r="B32" s="14">
        <f>$B12</f>
      </c>
    </row>
    <row r="33" spans="1:2" x14ac:dyDescent="0.25">
      <c r="A33" s="5" t="s">
        <v>84</v>
      </c>
      <c r="B33" s="14">
        <f>MAX(0,$F$8-$B12)</f>
      </c>
    </row>
    <row r="34" spans="1:2" x14ac:dyDescent="0.25">
      <c r="A34" s="5" t="s">
        <v>85</v>
      </c>
      <c r="B34" s="15">
        <f>IFERROR($B$33/($B11*12)/$B$8,"")</f>
      </c>
    </row>
    <row r="36" ht="58" customHeight="1" spans="1:9" x14ac:dyDescent="0.25">
      <c r="A36" s="16" t="s">
        <v>86</v>
      </c>
      <c r="B36" s="16"/>
      <c r="C36" s="16"/>
      <c r="D36" s="16"/>
      <c r="E36" s="16"/>
      <c r="F36" s="16"/>
      <c r="G36" s="16"/>
      <c r="H36" s="16"/>
      <c r="I36" s="16"/>
    </row>
  </sheetData>
  <mergeCells count="9">
    <mergeCell ref="A1:C1"/>
    <mergeCell ref="D1:F1"/>
    <mergeCell ref="A2:I2"/>
    <mergeCell ref="A10:I10"/>
    <mergeCell ref="A14:I14"/>
    <mergeCell ref="A27:I27"/>
    <mergeCell ref="A29:I29"/>
    <mergeCell ref="A31:I31"/>
    <mergeCell ref="A36:I36"/>
  </mergeCells>
  <pageMargins left="0.4" right="0.4" top="0.5" bottom="0.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FormatPr defaultRowHeight="15" outlineLevelRow="0" outlineLevelCol="0" x14ac:dyDescent="55"/>
  <cols>
    <col min="1" max="1" width="62" customWidth="1"/>
    <col min="2" max="2" width="16" customWidth="1"/>
    <col min="3" max="3" width="52" customWidth="1"/>
  </cols>
  <sheetData>
    <row r="1" spans="1:6" x14ac:dyDescent="0.25">
      <c r="A1" s="3" t="s">
        <v>2</v>
      </c>
      <c r="B1" s="3"/>
      <c r="C1" s="3"/>
      <c r="D1" s="4" t="s">
        <v>3</v>
      </c>
      <c r="E1" s="4"/>
      <c r="F1" s="4"/>
    </row>
    <row r="2" spans="1:3" x14ac:dyDescent="0.25">
      <c r="A2" s="10" t="s">
        <v>19</v>
      </c>
      <c r="B2" s="10"/>
      <c r="C2" s="10"/>
    </row>
    <row r="3" spans="1:1" x14ac:dyDescent="0.25">
      <c r="A3" s="19" t="s">
        <v>87</v>
      </c>
    </row>
    <row r="4" ht="30" customHeight="1" spans="1:3" x14ac:dyDescent="0.25">
      <c r="A4" s="11" t="s">
        <v>88</v>
      </c>
      <c r="B4" s="11" t="s">
        <v>89</v>
      </c>
      <c r="C4" s="11" t="s">
        <v>90</v>
      </c>
    </row>
    <row r="5" spans="1:3" x14ac:dyDescent="0.25">
      <c r="A5" s="5" t="s">
        <v>91</v>
      </c>
      <c r="B5" s="14">
        <f>'Funding gap'!$B12</f>
      </c>
      <c r="C5" s="16" t="s">
        <v>92</v>
      </c>
    </row>
    <row r="6" spans="1:3" x14ac:dyDescent="0.25">
      <c r="A6" s="5" t="s">
        <v>93</v>
      </c>
      <c r="B6" s="12">
        <v>68000</v>
      </c>
      <c r="C6" s="16" t="s">
        <v>94</v>
      </c>
    </row>
    <row r="7" spans="1:3" x14ac:dyDescent="0.25">
      <c r="A7" s="5" t="s">
        <v>95</v>
      </c>
      <c r="B7" s="12">
        <v>0</v>
      </c>
      <c r="C7" s="16" t="s">
        <v>96</v>
      </c>
    </row>
    <row r="8" spans="1:2" x14ac:dyDescent="0.25">
      <c r="A8" s="8" t="s">
        <v>97</v>
      </c>
      <c r="B8" s="14">
        <f>SUM(B5:B7)</f>
      </c>
    </row>
    <row r="9" spans="1:3" x14ac:dyDescent="0.25">
      <c r="A9" s="5" t="s">
        <v>98</v>
      </c>
      <c r="B9" s="14">
        <f>SUM('Asset register'!$W$5:$W$405)</f>
      </c>
      <c r="C9" s="16" t="s">
        <v>99</v>
      </c>
    </row>
    <row r="10" spans="1:2" x14ac:dyDescent="0.25">
      <c r="A10" s="8" t="s">
        <v>100</v>
      </c>
      <c r="B10" s="14">
        <f>B8+B9</f>
      </c>
    </row>
    <row r="11" spans="1:3" x14ac:dyDescent="0.25">
      <c r="A11" s="5" t="s">
        <v>101</v>
      </c>
      <c r="B11" s="12">
        <v>41000</v>
      </c>
      <c r="C11" s="16" t="s">
        <v>102</v>
      </c>
    </row>
    <row r="12" spans="1:3" x14ac:dyDescent="0.25">
      <c r="A12" s="5" t="s">
        <v>103</v>
      </c>
      <c r="B12" s="12">
        <v>23000</v>
      </c>
      <c r="C12" s="16" t="s">
        <v>104</v>
      </c>
    </row>
    <row r="13" spans="1:2" x14ac:dyDescent="0.25">
      <c r="A13" s="8" t="s">
        <v>105</v>
      </c>
      <c r="B13" s="14">
        <f>SUM(B11:B12)</f>
      </c>
    </row>
    <row r="14" spans="1:3" x14ac:dyDescent="0.25">
      <c r="A14" s="5" t="s">
        <v>106</v>
      </c>
      <c r="B14" s="12">
        <v>120000</v>
      </c>
      <c r="C14" s="16" t="s">
        <v>107</v>
      </c>
    </row>
    <row r="15" spans="1:2" x14ac:dyDescent="0.25">
      <c r="A15" s="8" t="s">
        <v>108</v>
      </c>
      <c r="B15" s="14">
        <f>B13+B14</f>
      </c>
    </row>
    <row r="16" spans="1:2" x14ac:dyDescent="0.25">
      <c r="A16" s="8" t="s">
        <v>109</v>
      </c>
      <c r="B16" s="14">
        <f>B10-B15</f>
      </c>
    </row>
    <row r="17" spans="1:3" x14ac:dyDescent="0.25">
      <c r="A17" s="5" t="s">
        <v>110</v>
      </c>
      <c r="B17" s="14">
        <f>B9-B14</f>
      </c>
      <c r="C17" s="16" t="s">
        <v>111</v>
      </c>
    </row>
    <row r="18" spans="1:3" x14ac:dyDescent="0.25">
      <c r="A18" s="5" t="s">
        <v>112</v>
      </c>
      <c r="B18" s="12">
        <v>0</v>
      </c>
      <c r="C18" s="16" t="s">
        <v>113</v>
      </c>
    </row>
    <row r="19" spans="1:2" x14ac:dyDescent="0.25">
      <c r="A19" s="5" t="s">
        <v>114</v>
      </c>
      <c r="B19" s="14">
        <f>B16-B17-B18</f>
      </c>
    </row>
    <row r="20" spans="1:2" x14ac:dyDescent="0.25">
      <c r="A20" s="5" t="s">
        <v>115</v>
      </c>
      <c r="B20" s="14">
        <f>B8-B13</f>
      </c>
    </row>
    <row r="22" ht="58" customHeight="1" spans="1:3" x14ac:dyDescent="0.25">
      <c r="A22" s="16" t="s">
        <v>116</v>
      </c>
      <c r="B22" s="16"/>
      <c r="C22" s="16"/>
    </row>
    <row r="24" ht="44" customHeight="1" spans="1:3" x14ac:dyDescent="0.25">
      <c r="A24" s="16" t="s">
        <v>117</v>
      </c>
      <c r="B24" s="16"/>
      <c r="C24" s="16"/>
    </row>
    <row r="26" ht="44" customHeight="1" spans="1:3" x14ac:dyDescent="0.25">
      <c r="A26" s="16" t="s">
        <v>118</v>
      </c>
      <c r="B26" s="16"/>
      <c r="C26" s="16"/>
    </row>
  </sheetData>
  <mergeCells count="6">
    <mergeCell ref="A1:C1"/>
    <mergeCell ref="D1:F1"/>
    <mergeCell ref="A2:C2"/>
    <mergeCell ref="A22:C22"/>
    <mergeCell ref="A24:C24"/>
    <mergeCell ref="A26:C26"/>
  </mergeCells>
  <pageMargins left="0.6" right="0.6" top="0.7" bottom="0.7" header="0.3" footer="0.3"/>
  <pageSetup orientation="portrait"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FormatPr defaultRowHeight="15" outlineLevelRow="0" outlineLevelCol="0" x14ac:dyDescent="55"/>
  <cols>
    <col min="1" max="1" width="66" customWidth="1"/>
    <col min="2" max="2" width="16" customWidth="1"/>
    <col min="3" max="3" width="46" customWidth="1"/>
  </cols>
  <sheetData>
    <row r="1" spans="1:6" x14ac:dyDescent="0.25">
      <c r="A1" s="3" t="s">
        <v>2</v>
      </c>
      <c r="B1" s="3"/>
      <c r="C1" s="3"/>
      <c r="D1" s="4" t="s">
        <v>3</v>
      </c>
      <c r="E1" s="4"/>
      <c r="F1" s="4"/>
    </row>
    <row r="2" spans="1:3" x14ac:dyDescent="0.25">
      <c r="A2" s="10" t="s">
        <v>19</v>
      </c>
      <c r="B2" s="10"/>
      <c r="C2" s="10"/>
    </row>
    <row r="3" ht="30" customHeight="1" spans="1:3" x14ac:dyDescent="0.25">
      <c r="A3" s="11" t="s">
        <v>119</v>
      </c>
      <c r="B3" s="11" t="s">
        <v>120</v>
      </c>
      <c r="C3" s="11" t="s">
        <v>121</v>
      </c>
    </row>
    <row r="4" spans="1:3" x14ac:dyDescent="0.25">
      <c r="A4" s="5" t="s">
        <v>122</v>
      </c>
      <c r="B4" s="12">
        <v>156000</v>
      </c>
      <c r="C4" s="16" t="s">
        <v>123</v>
      </c>
    </row>
    <row r="5" spans="1:3" x14ac:dyDescent="0.25">
      <c r="A5" s="5" t="s">
        <v>124</v>
      </c>
      <c r="B5" s="9">
        <v>60</v>
      </c>
      <c r="C5" s="16" t="s">
        <v>125</v>
      </c>
    </row>
    <row r="6" spans="1:2" x14ac:dyDescent="0.25">
      <c r="A6" s="5" t="s">
        <v>126</v>
      </c>
      <c r="B6" s="15">
        <f>B4*B5/365</f>
      </c>
    </row>
    <row r="7" spans="1:3" x14ac:dyDescent="0.25">
      <c r="A7" s="5" t="s">
        <v>127</v>
      </c>
      <c r="B7" s="14">
        <f>'Opening balance sheet'!$B$20</f>
      </c>
      <c r="C7" s="16" t="s">
        <v>128</v>
      </c>
    </row>
    <row r="8" spans="1:3" x14ac:dyDescent="0.25">
      <c r="A8" s="5" t="s">
        <v>129</v>
      </c>
      <c r="B8" s="14">
        <f>'Funding gap'!$B12</f>
      </c>
      <c r="C8" s="16" t="s">
        <v>130</v>
      </c>
    </row>
    <row r="9" spans="1:2" x14ac:dyDescent="0.25">
      <c r="A9" s="5" t="s">
        <v>131</v>
      </c>
      <c r="B9" s="14">
        <f>B7-B8</f>
      </c>
    </row>
    <row r="10" spans="1:2" x14ac:dyDescent="0.25">
      <c r="A10" s="5" t="s">
        <v>132</v>
      </c>
      <c r="B10" s="20">
        <f>IFERROR(B9/(B4/365),"")</f>
      </c>
    </row>
    <row r="11" spans="1:2" x14ac:dyDescent="0.25">
      <c r="A11" s="5" t="s">
        <v>133</v>
      </c>
      <c r="B11" s="15">
        <f>B9-B6</f>
      </c>
    </row>
    <row r="12" spans="1:3" x14ac:dyDescent="0.25">
      <c r="A12" s="5" t="s">
        <v>134</v>
      </c>
      <c r="B12" s="12">
        <v>2000</v>
      </c>
      <c r="C12" s="16" t="s">
        <v>135</v>
      </c>
    </row>
    <row r="13" spans="1:2" x14ac:dyDescent="0.25">
      <c r="A13" s="5" t="s">
        <v>136</v>
      </c>
      <c r="B13" s="20">
        <f>IFERROR(MAX(0,0-B11)/MAX(B12,0),"")</f>
      </c>
    </row>
    <row r="14" spans="1:3" x14ac:dyDescent="0.25">
      <c r="A14" s="5" t="s">
        <v>137</v>
      </c>
      <c r="B14" s="9">
        <v>45</v>
      </c>
      <c r="C14" s="16" t="s">
        <v>138</v>
      </c>
    </row>
    <row r="15" spans="1:3" x14ac:dyDescent="0.25">
      <c r="A15" s="5" t="s">
        <v>139</v>
      </c>
      <c r="B15" s="14">
        <f>B4+B12*12</f>
      </c>
      <c r="C15" s="16" t="s">
        <v>140</v>
      </c>
    </row>
    <row r="16" spans="1:3" x14ac:dyDescent="0.25">
      <c r="A16" s="5" t="s">
        <v>141</v>
      </c>
      <c r="B16" s="21">
        <f>IFERROR((B4+MAX(0,0-B11)/'Funding gap'!$B11)/B15-1,"")</f>
      </c>
      <c r="C16" s="16" t="s">
        <v>142</v>
      </c>
    </row>
    <row r="18" ht="44" customHeight="1" spans="1:3" x14ac:dyDescent="0.25">
      <c r="A18" s="16" t="s">
        <v>143</v>
      </c>
      <c r="B18" s="16"/>
      <c r="C18" s="16"/>
    </row>
    <row r="20" ht="58" customHeight="1" spans="1:3" x14ac:dyDescent="0.25">
      <c r="A20" s="16" t="s">
        <v>144</v>
      </c>
      <c r="B20" s="16"/>
      <c r="C20" s="16"/>
    </row>
  </sheetData>
  <mergeCells count="5">
    <mergeCell ref="A1:C1"/>
    <mergeCell ref="D1:F1"/>
    <mergeCell ref="A2:C2"/>
    <mergeCell ref="A18:C18"/>
    <mergeCell ref="A20:C20"/>
  </mergeCells>
  <pageMargins left="0.6" right="0.6" top="0.7" bottom="0.7" header="0.3" footer="0.3"/>
  <pageSetup orientation="portrait"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pane xSplit="1" ySplit="4" topLeftCell="B5" activePane="bottomRight" state="frozen"/>
      <selection pane="bottomRight"/>
    </sheetView>
  </sheetViews>
  <sheetFormatPr defaultRowHeight="15" outlineLevelRow="0" outlineLevelCol="0" x14ac:dyDescent="55"/>
  <cols>
    <col min="1" max="1" width="11" customWidth="1"/>
    <col min="2" max="3" width="13" customWidth="1"/>
    <col min="4" max="4" width="12" customWidth="1"/>
    <col min="5" max="5" width="13" customWidth="1"/>
    <col min="6" max="6" width="10" customWidth="1"/>
    <col min="7" max="7" width="11" customWidth="1"/>
    <col min="8" max="8" width="10" customWidth="1"/>
    <col min="9" max="10" width="46" customWidth="1"/>
  </cols>
  <sheetData>
    <row r="1" spans="1:6" x14ac:dyDescent="0.25">
      <c r="A1" s="3" t="s">
        <v>2</v>
      </c>
      <c r="B1" s="3"/>
      <c r="C1" s="3"/>
      <c r="D1" s="4" t="s">
        <v>3</v>
      </c>
      <c r="E1" s="4"/>
      <c r="F1" s="4"/>
    </row>
    <row r="2" spans="1:10" x14ac:dyDescent="0.25">
      <c r="A2" s="10" t="s">
        <v>19</v>
      </c>
      <c r="B2" s="10"/>
      <c r="C2" s="10"/>
      <c r="D2" s="10"/>
      <c r="E2" s="10"/>
      <c r="F2" s="10"/>
      <c r="G2" s="10"/>
      <c r="H2" s="10"/>
      <c r="I2" s="10"/>
      <c r="J2" s="10"/>
    </row>
    <row r="3" spans="1:10" x14ac:dyDescent="0.25">
      <c r="A3" s="18" t="s">
        <v>145</v>
      </c>
      <c r="B3" s="18"/>
      <c r="C3" s="18"/>
      <c r="D3" s="18"/>
      <c r="E3" s="18"/>
      <c r="F3" s="18"/>
      <c r="G3" s="18"/>
      <c r="H3" s="18"/>
      <c r="I3" s="18"/>
      <c r="J3" s="18"/>
    </row>
    <row r="4" ht="30" customHeight="1" spans="1:9" x14ac:dyDescent="0.25">
      <c r="A4" s="11" t="s">
        <v>21</v>
      </c>
      <c r="B4" s="11" t="s">
        <v>146</v>
      </c>
      <c r="C4" s="11" t="s">
        <v>66</v>
      </c>
      <c r="D4" s="11" t="s">
        <v>147</v>
      </c>
      <c r="E4" s="11" t="s">
        <v>148</v>
      </c>
      <c r="F4" s="11" t="s">
        <v>149</v>
      </c>
      <c r="G4" s="11" t="s">
        <v>150</v>
      </c>
      <c r="H4" s="11" t="s">
        <v>151</v>
      </c>
      <c r="I4" s="11" t="s">
        <v>152</v>
      </c>
    </row>
    <row r="5" spans="1:9" x14ac:dyDescent="0.25">
      <c r="A5" s="17" t="s">
        <v>44</v>
      </c>
      <c r="B5" s="9" t="s">
        <v>153</v>
      </c>
      <c r="C5" s="14">
        <f>COUNTIF('Asset register'!$B$5:$B$405,$A5)</f>
      </c>
      <c r="D5" s="22">
        <v>565.9515386852012</v>
      </c>
      <c r="E5" s="23">
        <v>0.27179487179487183</v>
      </c>
      <c r="F5" s="12">
        <v>9000</v>
      </c>
      <c r="G5" s="15">
        <f>SUMIFS('Asset register'!$S$5:$S$405,'Asset register'!$B$5:$B$405,$A5)</f>
      </c>
      <c r="H5" s="15">
        <f>C5*(D5+E5*F5/12)</f>
      </c>
      <c r="I5" s="14">
        <f>H5*12</f>
      </c>
    </row>
    <row r="6" spans="1:9" x14ac:dyDescent="0.25">
      <c r="A6" s="17" t="s">
        <v>49</v>
      </c>
      <c r="B6" s="9" t="s">
        <v>154</v>
      </c>
      <c r="C6" s="14">
        <f>COUNTIF('Asset register'!$B$5:$B$405,$A6)</f>
      </c>
      <c r="D6" s="22">
        <v>816.30823563619</v>
      </c>
      <c r="E6" s="23">
        <v>0.5071428571428571</v>
      </c>
      <c r="F6" s="12">
        <v>12000</v>
      </c>
      <c r="G6" s="15">
        <f>SUMIFS('Asset register'!$S$5:$S$405,'Asset register'!$B$5:$B$405,$A6)</f>
      </c>
      <c r="H6" s="15">
        <f>C6*(D6+E6*F6/12)</f>
      </c>
      <c r="I6" s="14">
        <f>H6*12</f>
      </c>
    </row>
    <row r="7" spans="1:9" x14ac:dyDescent="0.25">
      <c r="A7" s="17" t="s">
        <v>56</v>
      </c>
      <c r="B7" s="9" t="s">
        <v>155</v>
      </c>
      <c r="C7" s="14">
        <f>COUNTIF('Asset register'!$B$5:$B$405,$A7)</f>
      </c>
      <c r="D7" s="22">
        <v>2857.0451947575766</v>
      </c>
      <c r="E7" s="23">
        <v>2.3785714285714286</v>
      </c>
      <c r="F7" s="12">
        <v>7000</v>
      </c>
      <c r="G7" s="15">
        <f>SUMIFS('Asset register'!$S$5:$S$405,'Asset register'!$B$5:$B$405,$A7)</f>
      </c>
      <c r="H7" s="15">
        <f>C7*(D7+E7*F7/12)</f>
      </c>
      <c r="I7" s="14">
        <f>H7*12</f>
      </c>
    </row>
    <row r="8" spans="1:9" x14ac:dyDescent="0.25">
      <c r="A8" s="17" t="s">
        <v>61</v>
      </c>
      <c r="B8" s="9" t="s">
        <v>156</v>
      </c>
      <c r="C8" s="14">
        <f>COUNTIF('Asset register'!$B$5:$B$405,$A8)</f>
      </c>
      <c r="D8" s="22">
        <v>5090.201442536087</v>
      </c>
      <c r="E8" s="23">
        <v>3.385714285714286</v>
      </c>
      <c r="F8" s="12">
        <v>14000</v>
      </c>
      <c r="G8" s="15">
        <f>SUMIFS('Asset register'!$S$5:$S$405,'Asset register'!$B$5:$B$405,$A8)</f>
      </c>
      <c r="H8" s="15">
        <f>C8*(D8+E8*F8/12)</f>
      </c>
      <c r="I8" s="14">
        <f>H8*12</f>
      </c>
    </row>
    <row r="9" spans="1:9" x14ac:dyDescent="0.25">
      <c r="A9" s="8" t="s">
        <v>70</v>
      </c>
      <c r="C9" s="14">
        <f>SUM(C5:C8)</f>
      </c>
      <c r="G9" s="15">
        <f>SUM(G5:G8)</f>
      </c>
      <c r="H9" s="15">
        <f>SUM(H5:H8)</f>
      </c>
      <c r="I9" s="14">
        <f>SUM(I5:I8)</f>
      </c>
    </row>
    <row r="10" ht="44" customHeight="1" spans="1:10" x14ac:dyDescent="0.25">
      <c r="A10" s="16" t="s">
        <v>157</v>
      </c>
      <c r="B10" s="16"/>
      <c r="C10" s="16"/>
      <c r="D10" s="16"/>
      <c r="E10" s="16"/>
      <c r="F10" s="16"/>
      <c r="G10" s="16"/>
      <c r="H10" s="16"/>
      <c r="I10" s="16"/>
      <c r="J10" s="16"/>
    </row>
    <row r="12" spans="1:10" x14ac:dyDescent="0.25">
      <c r="A12" s="18" t="s">
        <v>158</v>
      </c>
      <c r="B12" s="18"/>
      <c r="C12" s="18"/>
      <c r="D12" s="18"/>
      <c r="E12" s="18"/>
      <c r="F12" s="18"/>
      <c r="G12" s="18"/>
      <c r="H12" s="18"/>
      <c r="I12" s="18"/>
      <c r="J12" s="18"/>
    </row>
    <row r="13" ht="30" customHeight="1" spans="1:10" x14ac:dyDescent="0.25">
      <c r="A13" s="11" t="s">
        <v>159</v>
      </c>
      <c r="B13" s="11" t="s">
        <v>160</v>
      </c>
      <c r="C13" s="11" t="s">
        <v>161</v>
      </c>
      <c r="D13" s="11" t="s">
        <v>162</v>
      </c>
      <c r="E13" s="11" t="s">
        <v>163</v>
      </c>
      <c r="F13" s="11" t="s">
        <v>164</v>
      </c>
      <c r="G13" s="11" t="s">
        <v>165</v>
      </c>
      <c r="H13" s="11" t="s">
        <v>166</v>
      </c>
      <c r="I13" s="11" t="s">
        <v>167</v>
      </c>
      <c r="J13" s="11" t="s">
        <v>168</v>
      </c>
    </row>
    <row r="14" spans="1:10" x14ac:dyDescent="0.25">
      <c r="A14" s="9" t="s">
        <v>169</v>
      </c>
      <c r="B14" s="15">
        <f>$H$9</f>
      </c>
      <c r="C14" s="22">
        <v>28910</v>
      </c>
      <c r="D14" s="15">
        <f>B14-C14</f>
      </c>
      <c r="E14" s="15">
        <f>D14</f>
      </c>
      <c r="F14" s="21">
        <f>IFERROR(B14/C14,"")</f>
      </c>
      <c r="G14" s="21">
        <f>IFERROR(SUM($B$14:B14)/SUM($C$14:C14),"")</f>
      </c>
      <c r="H14" s="12">
        <v>2</v>
      </c>
      <c r="I14" s="9" t="s">
        <v>170</v>
      </c>
      <c r="J14" s="24">
        <f>IF(G14="","",IF(ABS(G14-1)&gt;0.05,"Outside ±5% — fix the rate before the first real billing cycle, not after",""))</f>
      </c>
    </row>
    <row r="15" spans="1:10" x14ac:dyDescent="0.25">
      <c r="A15" s="9" t="s">
        <v>171</v>
      </c>
      <c r="B15" s="15">
        <f>$H$9</f>
      </c>
      <c r="C15" s="22">
        <v>28025</v>
      </c>
      <c r="D15" s="15">
        <f>B15-C15</f>
      </c>
      <c r="E15" s="15">
        <f>E14+D15</f>
      </c>
      <c r="F15" s="21">
        <f>IFERROR(B15/C15,"")</f>
      </c>
      <c r="G15" s="21">
        <f>IFERROR(SUM($B$14:B15)/SUM($C$14:C15),"")</f>
      </c>
      <c r="H15" s="12">
        <v>3</v>
      </c>
      <c r="I15" s="9" t="s">
        <v>172</v>
      </c>
      <c r="J15" s="24">
        <f>IF(G15="","",IF(ABS(G15-1)&gt;0.05,"Outside ±5% — fix the rate before the first real billing cycle, not after",""))</f>
      </c>
    </row>
    <row r="16" spans="1:10" x14ac:dyDescent="0.25">
      <c r="A16" s="9" t="s">
        <v>173</v>
      </c>
      <c r="B16" s="15">
        <f>$H$9</f>
      </c>
      <c r="C16" s="22">
        <v>26255</v>
      </c>
      <c r="D16" s="15">
        <f>B16-C16</f>
      </c>
      <c r="E16" s="15">
        <f>E15+D16</f>
      </c>
      <c r="F16" s="21">
        <f>IFERROR(B16/C16,"")</f>
      </c>
      <c r="G16" s="21">
        <f>IFERROR(SUM($B$14:B16)/SUM($C$14:C16),"")</f>
      </c>
      <c r="H16" s="12">
        <v>1</v>
      </c>
      <c r="I16" s="9" t="s">
        <v>174</v>
      </c>
      <c r="J16" s="24">
        <f>IF(G16="","",IF(ABS(G16-1)&gt;0.05,"Outside ±5% — fix the rate before the first real billing cycle, not after",""))</f>
      </c>
    </row>
    <row r="17" spans="1:10" x14ac:dyDescent="0.25">
      <c r="A17" s="9" t="s">
        <v>175</v>
      </c>
      <c r="B17" s="15">
        <f>$H$9</f>
      </c>
      <c r="C17" s="22">
        <v>23305</v>
      </c>
      <c r="D17" s="15">
        <f>B17-C17</f>
      </c>
      <c r="E17" s="15">
        <f>E16+D17</f>
      </c>
      <c r="F17" s="21">
        <f>IFERROR(B17/C17,"")</f>
      </c>
      <c r="G17" s="21">
        <f>IFERROR(SUM($B$14:B17)/SUM($C$14:C17),"")</f>
      </c>
      <c r="H17" s="12">
        <v>0</v>
      </c>
      <c r="I17" s="9" t="s">
        <v>176</v>
      </c>
      <c r="J17" s="24">
        <f>IF(G17="","",IF(ABS(G17-1)&gt;0.05,"Outside ±5% — fix the rate before the first real billing cycle, not after",""))</f>
      </c>
    </row>
    <row r="18" spans="1:10" x14ac:dyDescent="0.25">
      <c r="A18" s="9" t="s">
        <v>177</v>
      </c>
      <c r="B18" s="15">
        <f>$H$9</f>
      </c>
      <c r="C18" s="22">
        <v>22125</v>
      </c>
      <c r="D18" s="15">
        <f>B18-C18</f>
      </c>
      <c r="E18" s="15">
        <f>E17+D18</f>
      </c>
      <c r="F18" s="21">
        <f>IFERROR(B18/C18,"")</f>
      </c>
      <c r="G18" s="21">
        <f>IFERROR(SUM($B$14:B18)/SUM($C$14:C18),"")</f>
      </c>
      <c r="H18" s="12">
        <v>0</v>
      </c>
      <c r="I18" s="9" t="s">
        <v>176</v>
      </c>
      <c r="J18" s="24">
        <f>IF(G18="","",IF(ABS(G18-1)&gt;0.05,"Outside ±5% — fix the rate before the first real billing cycle, not after",""))</f>
      </c>
    </row>
    <row r="19" spans="1:10" x14ac:dyDescent="0.25">
      <c r="A19" s="9" t="s">
        <v>178</v>
      </c>
      <c r="B19" s="15">
        <f>$H$9</f>
      </c>
      <c r="C19" s="22">
        <v>21535</v>
      </c>
      <c r="D19" s="15">
        <f>B19-C19</f>
      </c>
      <c r="E19" s="15">
        <f>E18+D19</f>
      </c>
      <c r="F19" s="21">
        <f>IFERROR(B19/C19,"")</f>
      </c>
      <c r="G19" s="21">
        <f>IFERROR(SUM($B$14:B19)/SUM($C$14:C19),"")</f>
      </c>
      <c r="H19" s="12">
        <v>0</v>
      </c>
      <c r="I19" s="9" t="s">
        <v>176</v>
      </c>
      <c r="J19" s="24">
        <f>IF(G19="","",IF(ABS(G19-1)&gt;0.05,"Outside ±5% — fix the rate before the first real billing cycle, not after",""))</f>
      </c>
    </row>
    <row r="20" spans="1:10" x14ac:dyDescent="0.25">
      <c r="A20" s="9" t="s">
        <v>179</v>
      </c>
      <c r="B20" s="15">
        <f>$H$9</f>
      </c>
      <c r="C20" s="22">
        <v>21240</v>
      </c>
      <c r="D20" s="15">
        <f>B20-C20</f>
      </c>
      <c r="E20" s="15">
        <f>E19+D20</f>
      </c>
      <c r="F20" s="21">
        <f>IFERROR(B20/C20,"")</f>
      </c>
      <c r="G20" s="21">
        <f>IFERROR(SUM($B$14:B20)/SUM($C$14:C20),"")</f>
      </c>
      <c r="H20" s="12">
        <v>0</v>
      </c>
      <c r="I20" s="9" t="s">
        <v>176</v>
      </c>
      <c r="J20" s="24">
        <f>IF(G20="","",IF(ABS(G20-1)&gt;0.05,"Outside ±5% — fix the rate before the first real billing cycle, not after",""))</f>
      </c>
    </row>
    <row r="21" spans="1:10" x14ac:dyDescent="0.25">
      <c r="A21" s="9" t="s">
        <v>180</v>
      </c>
      <c r="B21" s="15">
        <f>$H$9</f>
      </c>
      <c r="C21" s="22">
        <v>21535</v>
      </c>
      <c r="D21" s="15">
        <f>B21-C21</f>
      </c>
      <c r="E21" s="15">
        <f>E20+D21</f>
      </c>
      <c r="F21" s="21">
        <f>IFERROR(B21/C21,"")</f>
      </c>
      <c r="G21" s="21">
        <f>IFERROR(SUM($B$14:B21)/SUM($C$14:C21),"")</f>
      </c>
      <c r="H21" s="12">
        <v>0</v>
      </c>
      <c r="I21" s="9" t="s">
        <v>176</v>
      </c>
      <c r="J21" s="24">
        <f>IF(G21="","",IF(ABS(G21-1)&gt;0.05,"Outside ±5% — fix the rate before the first real billing cycle, not after",""))</f>
      </c>
    </row>
    <row r="22" spans="1:10" x14ac:dyDescent="0.25">
      <c r="A22" s="9" t="s">
        <v>181</v>
      </c>
      <c r="B22" s="15">
        <f>$H$9</f>
      </c>
      <c r="C22" s="22">
        <v>23010</v>
      </c>
      <c r="D22" s="15">
        <f>B22-C22</f>
      </c>
      <c r="E22" s="15">
        <f>E21+D22</f>
      </c>
      <c r="F22" s="21">
        <f>IFERROR(B22/C22,"")</f>
      </c>
      <c r="G22" s="21">
        <f>IFERROR(SUM($B$14:B22)/SUM($C$14:C22),"")</f>
      </c>
      <c r="H22" s="12">
        <v>0</v>
      </c>
      <c r="I22" s="9" t="s">
        <v>176</v>
      </c>
      <c r="J22" s="24">
        <f>IF(G22="","",IF(ABS(G22-1)&gt;0.05,"Outside ±5% — fix the rate before the first real billing cycle, not after",""))</f>
      </c>
    </row>
    <row r="23" spans="1:10" x14ac:dyDescent="0.25">
      <c r="A23" s="9" t="s">
        <v>182</v>
      </c>
      <c r="B23" s="15">
        <f>$H$9</f>
      </c>
      <c r="C23" s="22">
        <v>24485</v>
      </c>
      <c r="D23" s="15">
        <f>B23-C23</f>
      </c>
      <c r="E23" s="15">
        <f>E22+D23</f>
      </c>
      <c r="F23" s="21">
        <f>IFERROR(B23/C23,"")</f>
      </c>
      <c r="G23" s="21">
        <f>IFERROR(SUM($B$14:B23)/SUM($C$14:C23),"")</f>
      </c>
      <c r="H23" s="12">
        <v>0</v>
      </c>
      <c r="I23" s="9" t="s">
        <v>176</v>
      </c>
      <c r="J23" s="24">
        <f>IF(G23="","",IF(ABS(G23-1)&gt;0.05,"Outside ±5% — fix the rate before the first real billing cycle, not after",""))</f>
      </c>
    </row>
    <row r="24" spans="1:10" x14ac:dyDescent="0.25">
      <c r="A24" s="9" t="s">
        <v>183</v>
      </c>
      <c r="B24" s="15">
        <f>$H$9</f>
      </c>
      <c r="C24" s="22">
        <v>26255</v>
      </c>
      <c r="D24" s="15">
        <f>B24-C24</f>
      </c>
      <c r="E24" s="15">
        <f>E23+D24</f>
      </c>
      <c r="F24" s="21">
        <f>IFERROR(B24/C24,"")</f>
      </c>
      <c r="G24" s="21">
        <f>IFERROR(SUM($B$14:B24)/SUM($C$14:C24),"")</f>
      </c>
      <c r="H24" s="12">
        <v>0</v>
      </c>
      <c r="I24" s="9" t="s">
        <v>176</v>
      </c>
      <c r="J24" s="24">
        <f>IF(G24="","",IF(ABS(G24-1)&gt;0.05,"Outside ±5% — fix the rate before the first real billing cycle, not after",""))</f>
      </c>
    </row>
    <row r="25" spans="1:10" x14ac:dyDescent="0.25">
      <c r="A25" s="9" t="s">
        <v>184</v>
      </c>
      <c r="B25" s="15">
        <f>$H$9</f>
      </c>
      <c r="C25" s="22">
        <v>28320</v>
      </c>
      <c r="D25" s="15">
        <f>B25-C25</f>
      </c>
      <c r="E25" s="15">
        <f>E24+D25</f>
      </c>
      <c r="F25" s="21">
        <f>IFERROR(B25/C25,"")</f>
      </c>
      <c r="G25" s="21">
        <f>IFERROR(SUM($B$14:B25)/SUM($C$14:C25),"")</f>
      </c>
      <c r="H25" s="12">
        <v>0</v>
      </c>
      <c r="I25" s="9" t="s">
        <v>176</v>
      </c>
      <c r="J25" s="24">
        <f>IF(G25="","",IF(ABS(G25-1)&gt;0.05,"Outside ±5% — fix the rate before the first real billing cycle, not after",""))</f>
      </c>
    </row>
    <row r="26" spans="1:6" x14ac:dyDescent="0.25">
      <c r="A26" s="8" t="s">
        <v>70</v>
      </c>
      <c r="B26" s="15">
        <f>SUM(B14:B25)</f>
      </c>
      <c r="C26" s="15">
        <f>SUM(C14:C25)</f>
      </c>
      <c r="D26" s="15">
        <f>SUM(D14:D25)</f>
      </c>
      <c r="F26" s="21">
        <f>IFERROR(B26/C26,"")</f>
      </c>
    </row>
    <row r="28" ht="72" customHeight="1" spans="1:10" x14ac:dyDescent="0.25">
      <c r="A28" s="16" t="s">
        <v>185</v>
      </c>
      <c r="B28" s="16"/>
      <c r="C28" s="16"/>
      <c r="D28" s="16"/>
      <c r="E28" s="16"/>
      <c r="F28" s="16"/>
      <c r="G28" s="16"/>
      <c r="H28" s="16"/>
      <c r="I28" s="16"/>
      <c r="J28" s="16"/>
    </row>
  </sheetData>
  <mergeCells count="7">
    <mergeCell ref="A1:C1"/>
    <mergeCell ref="D1:F1"/>
    <mergeCell ref="A2:J2"/>
    <mergeCell ref="A3:J3"/>
    <mergeCell ref="A10:J10"/>
    <mergeCell ref="A12:J12"/>
    <mergeCell ref="A28:J28"/>
  </mergeCells>
  <conditionalFormatting sqref="G14:G25">
    <cfRule type="cellIs" dxfId="1" priority="1" operator="lessThan">
      <formula>0.95</formula>
    </cfRule>
    <cfRule type="cellIs" dxfId="2" priority="2" operator="greaterThan">
      <formula>1.05</formula>
    </cfRule>
  </conditionalFormatting>
  <pageMargins left="0.4" right="0.4" top="0.5" bottom="0.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FormatPr defaultRowHeight="15" outlineLevelRow="0" outlineLevelCol="0" x14ac:dyDescent="55"/>
  <cols>
    <col min="1" max="1" width="78" customWidth="1"/>
    <col min="2" max="2" width="12" customWidth="1"/>
  </cols>
  <sheetData>
    <row r="1" spans="1:1" x14ac:dyDescent="0.25">
      <c r="A1" s="25" t="s">
        <v>186</v>
      </c>
    </row>
    <row r="2" spans="1:1" x14ac:dyDescent="0.25">
      <c r="A2" s="26" t="s">
        <v>187</v>
      </c>
    </row>
    <row r="3" spans="1:1" x14ac:dyDescent="0.25">
      <c r="A3" s="26" t="s">
        <v>188</v>
      </c>
    </row>
    <row r="5" spans="1:1" x14ac:dyDescent="0.25">
      <c r="A5" s="25" t="s">
        <v>189</v>
      </c>
    </row>
    <row r="6" spans="1:1" x14ac:dyDescent="0.25">
      <c r="A6" s="27" t="s">
        <v>190</v>
      </c>
    </row>
    <row r="7" spans="1:2" x14ac:dyDescent="0.25">
      <c r="A7" s="28" t="s">
        <v>191</v>
      </c>
      <c r="B7" s="29" t="s">
        <v>192</v>
      </c>
    </row>
    <row r="8" spans="1:2" x14ac:dyDescent="0.25">
      <c r="A8" s="28" t="s">
        <v>193</v>
      </c>
      <c r="B8" s="29" t="s">
        <v>192</v>
      </c>
    </row>
    <row r="9" spans="1:2" x14ac:dyDescent="0.25">
      <c r="A9" s="28" t="s">
        <v>194</v>
      </c>
      <c r="B9" s="29" t="s">
        <v>192</v>
      </c>
    </row>
    <row r="10" spans="1:2" x14ac:dyDescent="0.25">
      <c r="A10" s="28" t="s">
        <v>195</v>
      </c>
      <c r="B10" s="29" t="s">
        <v>192</v>
      </c>
    </row>
    <row r="11" spans="1:2" x14ac:dyDescent="0.25">
      <c r="A11" s="28" t="s">
        <v>196</v>
      </c>
      <c r="B11" s="29" t="s">
        <v>192</v>
      </c>
    </row>
    <row r="12" spans="1:2" x14ac:dyDescent="0.25">
      <c r="A12" s="28" t="s">
        <v>197</v>
      </c>
      <c r="B12" s="29" t="s">
        <v>192</v>
      </c>
    </row>
    <row r="13" spans="1:2" x14ac:dyDescent="0.25">
      <c r="A13" s="28" t="s">
        <v>198</v>
      </c>
      <c r="B13" s="29" t="s">
        <v>192</v>
      </c>
    </row>
    <row r="14" spans="1:2" x14ac:dyDescent="0.25">
      <c r="A14" s="28" t="s">
        <v>199</v>
      </c>
      <c r="B14" s="29" t="s">
        <v>192</v>
      </c>
    </row>
    <row r="15" spans="1:2" x14ac:dyDescent="0.25">
      <c r="A15" s="28" t="s">
        <v>200</v>
      </c>
      <c r="B15" s="29" t="s">
        <v>192</v>
      </c>
    </row>
    <row r="16" spans="1:1" x14ac:dyDescent="0.25">
      <c r="A16" s="28" t="s">
        <v>201</v>
      </c>
    </row>
    <row r="17" spans="1:2" x14ac:dyDescent="0.25">
      <c r="A17" s="28" t="s">
        <v>202</v>
      </c>
      <c r="B17" s="29" t="s">
        <v>192</v>
      </c>
    </row>
    <row r="18" spans="1:1" x14ac:dyDescent="0.25">
      <c r="A18" s="28" t="s">
        <v>203</v>
      </c>
    </row>
    <row r="20" spans="1:1" x14ac:dyDescent="0.25">
      <c r="A20" s="25" t="s">
        <v>204</v>
      </c>
    </row>
    <row r="21" spans="1:1" x14ac:dyDescent="0.25">
      <c r="A21" s="27" t="s">
        <v>205</v>
      </c>
    </row>
    <row r="22" spans="1:2" x14ac:dyDescent="0.25">
      <c r="A22" s="30" t="s">
        <v>206</v>
      </c>
      <c r="B22" s="31" t="s">
        <v>176</v>
      </c>
    </row>
    <row r="23" spans="1:2" x14ac:dyDescent="0.25">
      <c r="A23" s="30" t="s">
        <v>207</v>
      </c>
      <c r="B23" s="31" t="s">
        <v>176</v>
      </c>
    </row>
    <row r="24" spans="1:2" x14ac:dyDescent="0.25">
      <c r="A24" s="30" t="s">
        <v>208</v>
      </c>
      <c r="B24" s="31" t="s">
        <v>176</v>
      </c>
    </row>
    <row r="25" spans="1:2" x14ac:dyDescent="0.25">
      <c r="A25" s="30" t="s">
        <v>209</v>
      </c>
      <c r="B25" s="31" t="s">
        <v>176</v>
      </c>
    </row>
    <row r="26" spans="1:2" x14ac:dyDescent="0.25">
      <c r="A26" s="30" t="s">
        <v>210</v>
      </c>
      <c r="B26" s="31" t="s">
        <v>176</v>
      </c>
    </row>
    <row r="28" spans="1:1" x14ac:dyDescent="0.25">
      <c r="A28" s="25" t="s">
        <v>211</v>
      </c>
    </row>
    <row r="29" spans="1:1" x14ac:dyDescent="0.25">
      <c r="A29" s="26" t="s">
        <v>212</v>
      </c>
    </row>
    <row r="30" spans="1:1" x14ac:dyDescent="0.25">
      <c r="A30" s="26" t="s">
        <v>213</v>
      </c>
    </row>
    <row r="31" spans="1:1" x14ac:dyDescent="0.25">
      <c r="A31" s="26" t="s">
        <v>214</v>
      </c>
    </row>
  </sheetData>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Asset register</vt:lpstr>
      <vt:lpstr>Funding gap</vt:lpstr>
      <vt:lpstr>Opening balance sheet</vt:lpstr>
      <vt:lpstr>Working capital</vt:lpstr>
      <vt:lpstr>Parallel-year billing</vt:lpstr>
      <vt:lpstr>Sources &amp; method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 Desk</dc:creator>
  <dc:title>Internal service fund conversion kit</dc:title>
  <dc:subject>Internal service fund conversion kit — version 1.0</dc:subject>
  <dc:description/>
  <cp:keywords>fleet management, template</cp:keywords>
  <cp:category/>
  <cp:lastModifiedBy>Fleet Desk</cp:lastModifiedBy>
  <dcterms:created xsi:type="dcterms:W3CDTF">2026-08-04T13:54:04Z</dcterms:created>
  <dcterms:modified xsi:type="dcterms:W3CDTF">2026-08-04T13:54:04Z</dcterms:modified>
</cp:coreProperties>
</file>