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How to use" state="visible" r:id="rId4"/>
    <sheet sheetId="2" name="Score model" state="visible" r:id="rId5"/>
    <sheet sheetId="3" name="Units" state="visible" r:id="rId6"/>
    <sheet sheetId="4" name="Ranked list (print)" state="visible" r:id="rId7"/>
    <sheet sheetId="5" name="Band test" state="visible" r:id="rId8"/>
    <sheet sheetId="6" name="Sources &amp; method" state="visible" r:id="rId9"/>
  </sheets>
  <definedNames>
    <definedName name="_xlnm.Print_Area" localSheetId="3">'Ranked list (print)'!$A1:$I22</definedName>
    <definedName name="_xlnm.Print_Titles" localSheetId="3">'Ranked list (print)'!$3:$3</definedName>
  </definedNames>
  <calcPr calcId="171027"/>
</workbook>
</file>

<file path=xl/sharedStrings.xml><?xml version="1.0" encoding="utf-8"?>
<sst xmlns="http://schemas.openxmlformats.org/spreadsheetml/2006/main" count="237" uniqueCount="188">
  <si>
    <t>Replacement scoring worksheet</t>
  </si>
  <si>
    <t>Version 1.0 — 2026-07-01</t>
  </si>
  <si>
    <t>Input — change this</t>
  </si>
  <si>
    <t>Calculated — do not type here</t>
  </si>
  <si>
    <t>Six factors, one row per unit: age, usage, service severity, reliability, repair cost and condition. A higher total means a stronger replacement case. The model ranks units against each other — it does not tell you the year a unit is economically optimal to replace.</t>
  </si>
  <si>
    <t>Score your whole fleet first, then set the bands. Thresholds copied from another agency produce a list you cannot fund, and adjusting them after seeing the results destroys the credibility the model was built for.</t>
  </si>
  <si>
    <t>Enter one row per unit on the Units sheet. Columns K to W calculate.</t>
  </si>
  <si>
    <t>Score model holds every parameter: point intervals per class, the age and usage caps, the repair-cost band edges, the reliability cut points and the band thresholds. Change them there, once, and the whole workbook follows.</t>
  </si>
  <si>
    <t>Ranked list (print) is the attachment you take to the budget meeting. Paste your unit numbers into column B, sort by score descending, and drag the funding line row to where your budget actually stops. It carries no branding, because it becomes your document.</t>
  </si>
  <si>
    <t>Band test shows the distribution — a histogram in buckets of 2, the count and share in each band, and how many units sit above the funding line against the number you can realistically fund. Read it before you adopt the thresholds.</t>
  </si>
  <si>
    <t>Column O is the repair-cost RATIO, not a point value, so it is deliberately excluded from the total in column R.</t>
  </si>
  <si>
    <t>A score is not a decision. Safety defects, assets with no replacement market and platform standardisation moves are exceptions: record them in column U rather than quietly adjusting a score.</t>
  </si>
  <si>
    <t>Nothing is locked or password protected. Insert rows, add columns, change the model.</t>
  </si>
  <si>
    <t>Change these three before the numbers mean anything:</t>
  </si>
  <si>
    <t>•  Units → In-service year and Usage: age and usage are most of the score, and both come straight off your fleet list</t>
  </si>
  <si>
    <t>•  Units → Current replacement cost ($): the repair-cost factor is a percentage of it, so a stale figure moves the score</t>
  </si>
  <si>
    <t>•  Score model → Band thresholds (B18:B20): set them from your own distribution on the Band test sheet, not from the defaults shipped here</t>
  </si>
  <si>
    <t>Score model — adopt these in policy, then leave them alone</t>
  </si>
  <si>
    <t>Parameter</t>
  </si>
  <si>
    <t>Value</t>
  </si>
  <si>
    <t>Notes</t>
  </si>
  <si>
    <t>Age points per year in service</t>
  </si>
  <si>
    <t>One point per year is the convention. Simple and hard to argue with.</t>
  </si>
  <si>
    <t>Age points cap (pts)</t>
  </si>
  <si>
    <t>Set this high if you want age uncapped. Uncapped, one very old unit dominates the ranking and the model stops discriminating between the rest.</t>
  </si>
  <si>
    <t>Light duty</t>
  </si>
  <si>
    <t>Miles per usage point, light duty. Raise it for a fleet whose light vehicles legitimately run high mileage.</t>
  </si>
  <si>
    <t>Severe-heavy</t>
  </si>
  <si>
    <t>Miles per usage point, severe-duty and heavy units.</t>
  </si>
  <si>
    <t>Equipment</t>
  </si>
  <si>
    <t>ENGINE HOURS per usage point. Use hours wherever the unit does significant stationary work — scoring a bucket truck on the odometer keeps it years past its date.</t>
  </si>
  <si>
    <t>Usage points cap (pts)</t>
  </si>
  <si>
    <t>Same reasoning as the age cap.</t>
  </si>
  <si>
    <t>Repair cost — lifetime M&amp;R as % of current replacement cost</t>
  </si>
  <si>
    <t>Band edge 1 (%)</t>
  </si>
  <si>
    <t>Below this percentage scores 1 point.</t>
  </si>
  <si>
    <t>Band edge 2 (%)</t>
  </si>
  <si>
    <t>At or above the row above, and below this, scores 2 points.</t>
  </si>
  <si>
    <t>Band edge 3 (%)</t>
  </si>
  <si>
    <t>At or above the row above, and below this, scores 3 points.</t>
  </si>
  <si>
    <t>Band edge 4 (%)</t>
  </si>
  <si>
    <t>At or above the row above scores 4 points; at or above this, 5 points.</t>
  </si>
  <si>
    <t>Exclude accident damage — that reflects an event, not the condition of the asset. Excluding scheduled PM consumables as well makes the factor a cleaner deterioration signal, and most agencies do.</t>
  </si>
  <si>
    <t>Band thresholds — total score at which a unit enters each band</t>
  </si>
  <si>
    <t>Qualifies (pts and above)</t>
  </si>
  <si>
    <t>Add to the multi-year plan. Start the specification now — procurement lead times are long.</t>
  </si>
  <si>
    <t>Needs replacement (pts and above)</t>
  </si>
  <si>
    <t>Priority for the current budget request.</t>
  </si>
  <si>
    <t>Immediate (pts and above)</t>
  </si>
  <si>
    <t>Replace as funding allows; consider pulling the unit from front-line service.</t>
  </si>
  <si>
    <t>These three numbers are a starting point, not a standard. Set them from the Band test sheet so the top group is roughly the size your realistic annual budget can fund.</t>
  </si>
  <si>
    <t>Reliability — unscheduled in-shop events, trailing 12 months</t>
  </si>
  <si>
    <t>Cut point 1 (events)</t>
  </si>
  <si>
    <t>This many events or fewer scores 1 point.</t>
  </si>
  <si>
    <t>Cut point 2 (events)</t>
  </si>
  <si>
    <t>Up to this many scores 2 points.</t>
  </si>
  <si>
    <t>Cut point 3 (events)</t>
  </si>
  <si>
    <t>Up to this many scores 3 points.</t>
  </si>
  <si>
    <t>Cut point 4 (events)</t>
  </si>
  <si>
    <t>Up to this many scores 4 points; more than this scores 5.</t>
  </si>
  <si>
    <t>The guide gives reliability as a 1–5 range without fixed cut points, so they are yours to set and are printed here rather than buried in a formula. Count events, not dollars — the dollars are the repair-cost factor. Weight road failures heavily; a breakdown in service costs recovery, driver time and sometimes a service commitment that never reaches the maintenance record.</t>
  </si>
  <si>
    <t>Scoring year</t>
  </si>
  <si>
    <t>Age points are measured against this year. Change it once per annual scoring run.</t>
  </si>
  <si>
    <t>EXAMPLE DATA — replace before use. Delete this row once you have your own numbers.</t>
  </si>
  <si>
    <t>Unit number</t>
  </si>
  <si>
    <t>Year / make / model</t>
  </si>
  <si>
    <t>Class (drives the usage interval)</t>
  </si>
  <si>
    <t>In-service year (YYYY)</t>
  </si>
  <si>
    <t>Usage (miles, or hours for equipment)</t>
  </si>
  <si>
    <t>Current replacement cost ($)</t>
  </si>
  <si>
    <t>Lifetime M&amp;R excl. accident ($)</t>
  </si>
  <si>
    <t>Service severity (1–5)</t>
  </si>
  <si>
    <t>Unscheduled events, trailing 12 mo (count)</t>
  </si>
  <si>
    <t>Condition (1–5, technician)</t>
  </si>
  <si>
    <t>Age points (pts)</t>
  </si>
  <si>
    <t>Usage points (pts)</t>
  </si>
  <si>
    <t>Severity points (pts)</t>
  </si>
  <si>
    <t>Reliability points (pts)</t>
  </si>
  <si>
    <t>Repair cost (% of replacement cost)</t>
  </si>
  <si>
    <t>Repair cost points (pts)</t>
  </si>
  <si>
    <t>Condition points (pts)</t>
  </si>
  <si>
    <t>TOTAL SCORE (pts)</t>
  </si>
  <si>
    <t>Band</t>
  </si>
  <si>
    <t>Rank (1 = highest)</t>
  </si>
  <si>
    <t>Override / exception note</t>
  </si>
  <si>
    <t>Prior-year score (pts)</t>
  </si>
  <si>
    <t>Trajectory (pts vs prior year)</t>
  </si>
  <si>
    <t>4101</t>
  </si>
  <si>
    <t>2022 Ford Fusion sedan</t>
  </si>
  <si>
    <t>4102</t>
  </si>
  <si>
    <t>2019 Chevrolet Malibu sedan</t>
  </si>
  <si>
    <t>4103</t>
  </si>
  <si>
    <t>2016 Ford Transit cargo van</t>
  </si>
  <si>
    <t>Rear floor and rocker corrosion noted at annual inspection — safety override candidate.</t>
  </si>
  <si>
    <t>4104</t>
  </si>
  <si>
    <t>2015 Ford Transit cargo van</t>
  </si>
  <si>
    <t>4204</t>
  </si>
  <si>
    <t>2021 Ford F-150 half-ton pickup</t>
  </si>
  <si>
    <t>4205</t>
  </si>
  <si>
    <t>2018 Ford F-250 three-quarter-ton pickup</t>
  </si>
  <si>
    <t>4206</t>
  </si>
  <si>
    <t>2019 Ford F-350 one-ton with plow and spreader</t>
  </si>
  <si>
    <t>4306</t>
  </si>
  <si>
    <t>2006 International tandem-axle dump with plow and spreader</t>
  </si>
  <si>
    <t>Age and usage both pin to the 12-point cap on the Score model sheet — uncapped this unit would score 90 and flatten the ranking of everything else.</t>
  </si>
  <si>
    <t>4307</t>
  </si>
  <si>
    <t>2020 International single-axle dump with plow package</t>
  </si>
  <si>
    <t>4308</t>
  </si>
  <si>
    <t>2017 International single-axle dump with plow package</t>
  </si>
  <si>
    <t>4409</t>
  </si>
  <si>
    <t>2021 Peterbilt rear-loader refuse packer</t>
  </si>
  <si>
    <t>4410</t>
  </si>
  <si>
    <t>2023 Peterbilt rear-loader refuse packer</t>
  </si>
  <si>
    <t>5501</t>
  </si>
  <si>
    <t>2016 John Deere 310 backhoe loader</t>
  </si>
  <si>
    <t>No like-for-like replacement available on contract; rebuild quoted at $46,000 — handle as a written exception.</t>
  </si>
  <si>
    <t>5502</t>
  </si>
  <si>
    <t>2019 Bobcat S650 skid steer</t>
  </si>
  <si>
    <t>5503</t>
  </si>
  <si>
    <t>2024 Kubota KX057 mini excavator</t>
  </si>
  <si>
    <t>5504</t>
  </si>
  <si>
    <t>2018 Kubota M5-091 tractor with mower deck</t>
  </si>
  <si>
    <t>Column O is the repair-cost ratio, not a point value — column P converts it to points, and only P enters the total. Formulas run to this row only; copy the last row down as you add units, or copy it down as far as you like: every calculated column stays blank until column A has a unit number in it, so an empty row is not counted anywhere. Ranked list and Band test already look at 200 rows.</t>
  </si>
  <si>
    <t>[AGENCY NAME] — Vehicle replacement priority list, FY [FISCAL YEAR]</t>
  </si>
  <si>
    <t>Scored [DATE] against criteria adopted in fleet policy. Every unit in the fleet was scored; the full list is published, not only the funded portion.</t>
  </si>
  <si>
    <t>Priority</t>
  </si>
  <si>
    <t>Class</t>
  </si>
  <si>
    <t>Score (pts)</t>
  </si>
  <si>
    <t>Change vs prior year (pts)</t>
  </si>
  <si>
    <t>Exception / override note</t>
  </si>
  <si>
    <t>FUNDING LINE — units above this line are funded in FY [FISCAL YEAR]. Drag this row to where your adopted budget actually stops.</t>
  </si>
  <si>
    <t>Method: six factors — age, usage, service severity, reliability, repair cost as a percentage of replacement cost, and technician-assessed condition. Criteria were adopted in policy before scoring and applied to every unit. Exceptions in the last column are recorded in writing rather than handled by adjusting a score.</t>
  </si>
  <si>
    <t>Band test — do these thresholds produce a list you can act on?</t>
  </si>
  <si>
    <t>Score the whole fleet first, then read this sheet. If most units land in the top band, either the thresholds are wrong for this fleet or the fleet is in worse shape than the model assumes. Set the thresholds so the top group is roughly the size your realistic annual budget can fund, then adopt them in policy and leave them alone.</t>
  </si>
  <si>
    <t>Score bucket (pts)</t>
  </si>
  <si>
    <t>Units</t>
  </si>
  <si>
    <t>Share of scored fleet</t>
  </si>
  <si>
    <t>7 or below</t>
  </si>
  <si>
    <t>8–9</t>
  </si>
  <si>
    <t>10–11</t>
  </si>
  <si>
    <t>12–13</t>
  </si>
  <si>
    <t>14–15</t>
  </si>
  <si>
    <t>16–17</t>
  </si>
  <si>
    <t>18–19</t>
  </si>
  <si>
    <t>20–21</t>
  </si>
  <si>
    <t>22–23</t>
  </si>
  <si>
    <t>24–25</t>
  </si>
  <si>
    <t>26–27</t>
  </si>
  <si>
    <t>28–29</t>
  </si>
  <si>
    <t>30–31</t>
  </si>
  <si>
    <t>32–33</t>
  </si>
  <si>
    <t>34–35</t>
  </si>
  <si>
    <t>36–37</t>
  </si>
  <si>
    <t>38 or above</t>
  </si>
  <si>
    <t>Units scored</t>
  </si>
  <si>
    <t>Band distribution</t>
  </si>
  <si>
    <t>Score range (pts)</t>
  </si>
  <si>
    <t>Below threshold — keep, re-score next year</t>
  </si>
  <si>
    <t>Qualifies — add to the multi-year plan</t>
  </si>
  <si>
    <t>Needs replacement — this budget request</t>
  </si>
  <si>
    <t>Immediate — replace as funding allows</t>
  </si>
  <si>
    <t>Funding line check</t>
  </si>
  <si>
    <t>Realistic annual budget (units you can actually fund)</t>
  </si>
  <si>
    <t>Units at or above the needs-replacement threshold</t>
  </si>
  <si>
    <t>Units at or above the immediate threshold</t>
  </si>
  <si>
    <t>Units above the funding line the budget does not reach</t>
  </si>
  <si>
    <t>Verdict</t>
  </si>
  <si>
    <t>The share columns count only rows with a score, so blank rows added for future units do not distort the distribution. Buckets are fixed at 2 points wide; the band rows follow whatever thresholds are set on the Score model sheet.</t>
  </si>
  <si>
    <t>Building a replacement scoring model</t>
  </si>
  <si>
    <t>Companion to https://fleetdesk.axionfleetai.com/guides/replacement-scoring/</t>
  </si>
  <si>
    <t>Version 1.0 — reviewed 2026-07-01</t>
  </si>
  <si>
    <t>Sources</t>
  </si>
  <si>
    <t>Sources marked PRIMARY are regulators, standards bodies or government publications. Anything unmarked is trade press or vendor-published and should be treated as directional.</t>
  </si>
  <si>
    <t>APWA — Certified Public Fleet Professional program</t>
  </si>
  <si>
    <t>PRIMARY</t>
  </si>
  <si>
    <t>South Florida Water Management District — Fleet replacement lifecycle analysis (PDF)</t>
  </si>
  <si>
    <t>Automotive Fleet — How to calculate optimal replacement cycles (trade press)</t>
  </si>
  <si>
    <t>Record your own decisions</t>
  </si>
  <si>
    <t>The guide asks you to write these down. They travel with the workbook.</t>
  </si>
  <si>
    <t>Reliability cut points adopted (events to points):</t>
  </si>
  <si>
    <t/>
  </si>
  <si>
    <t>Date the band thresholds were adopted in policy, and by whom:</t>
  </si>
  <si>
    <t>Who performs the condition inspection, and against what rubric:</t>
  </si>
  <si>
    <t>Whether scheduled PM consumables are included in lifetime M&amp;R:</t>
  </si>
  <si>
    <t>About this template</t>
  </si>
  <si>
    <t>Published by Fleet Desk — https://fleetdesk.axionfleetai.com</t>
  </si>
  <si>
    <t>Free to use, adapt and distribute, including commercially. No attribution required.</t>
  </si>
  <si>
    <t>Sponsored by Axion (axionfleetai.com), which had no editorial control over this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</si>
</sst>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color theme="1"/>
      <family val="2"/>
      <scheme val="minor"/>
      <sz val="11"/>
      <name val="Calibri"/>
    </font>
    <font>
      <b/>
      <sz val="14"/>
    </font>
    <font>
      <color rgb="FF666666"/>
      <sz val="9"/>
    </font>
    <font>
      <b/>
      <sz val="9"/>
    </font>
    <font>
      <sz val="10"/>
    </font>
    <font>
      <b/>
      <sz val="10"/>
    </font>
    <font>
      <b/>
      <sz val="12"/>
    </font>
    <font>
      <b/>
      <color rgb="FFFFFFFF"/>
      <sz val="9"/>
    </font>
    <font>
      <i/>
      <sz val="9"/>
    </font>
    <font>
      <b/>
      <color rgb="FF8A1C1C"/>
      <sz val="10"/>
    </font>
    <font>
      <b/>
    </font>
    <font>
      <b/>
      <sz val="13"/>
    </font>
    <font>
      <i/>
      <sz val="8"/>
    </font>
    <font>
      <b/>
      <sz val="11"/>
    </font>
    <font>
      <i/>
      <sz val="10"/>
    </font>
    <font>
      <u/>
      <color rgb="FF1F5E70"/>
      <sz val="10"/>
    </font>
    <font>
      <b/>
      <color rgb="FF1F5E70"/>
      <sz val="8"/>
    </font>
  </fonts>
  <fills count="7">
    <fill>
      <patternFill patternType="none"/>
    </fill>
    <fill>
      <patternFill patternType="gray125"/>
    </fill>
    <fill>
      <patternFill patternType="solid">
        <fgColor rgb="FFFDF1D6"/>
      </patternFill>
    </fill>
    <fill>
      <patternFill patternType="solid">
        <fgColor rgb="FFE8EEF2"/>
      </patternFill>
    </fill>
    <fill>
      <patternFill patternType="solid">
        <fgColor rgb="FFFFF7CC"/>
      </patternFill>
    </fill>
    <fill>
      <patternFill patternType="solid">
        <fgColor rgb="FF23414B"/>
      </patternFill>
    </fill>
    <fill>
      <patternFill patternType="solid">
        <fgColor rgb="FFF6D5D5"/>
      </patternFill>
    </fill>
  </fills>
  <borders count="2">
    <border>
      <left/>
      <right/>
      <top/>
      <bottom/>
      <diagonal/>
    </border>
    <border>
      <left/>
      <right/>
      <top/>
      <bottom style="hair"/>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2" borderId="0" xfId="0" applyFont="1" applyFill="1"/>
    <xf numFmtId="0" fontId="3" fillId="3" borderId="0" xfId="0" applyFont="1" applyFill="1"/>
    <xf numFmtId="0" fontId="4" fillId="0" borderId="0" xfId="0" applyFont="1" applyAlignment="1">
      <alignment vertical="top" wrapText="1"/>
    </xf>
    <xf numFmtId="0" fontId="5" fillId="0" borderId="0" xfId="0" applyFont="1" applyAlignment="1">
      <alignment vertical="top" wrapText="1"/>
    </xf>
    <xf numFmtId="0" fontId="5" fillId="0" borderId="0" xfId="0" applyFont="1"/>
    <xf numFmtId="0" fontId="4" fillId="4" borderId="0" xfId="0" applyFont="1" applyFill="1"/>
    <xf numFmtId="0" fontId="6" fillId="0" borderId="0" xfId="0" applyFont="1"/>
    <xf numFmtId="0" fontId="7" fillId="5" borderId="0" xfId="0" applyFont="1" applyFill="1" applyAlignment="1">
      <alignment vertical="bottom" wrapText="1"/>
    </xf>
    <xf numFmtId="0" fontId="4" fillId="0" borderId="0" xfId="0" applyFont="1"/>
    <xf numFmtId="0" fontId="0" fillId="2" borderId="0" xfId="0" applyFill="1"/>
    <xf numFmtId="0" fontId="8" fillId="0" borderId="0" xfId="0" applyFont="1" applyAlignment="1">
      <alignment wrapText="1"/>
    </xf>
    <xf numFmtId="0" fontId="8" fillId="0" borderId="0" xfId="0" applyFont="1"/>
    <xf numFmtId="0" fontId="9" fillId="6" borderId="0" xfId="0" applyFont="1" applyFill="1"/>
    <xf numFmtId="3" fontId="0" fillId="2" borderId="0" xfId="0" applyNumberFormat="1" applyFill="1"/>
    <xf numFmtId="0" fontId="0" fillId="3" borderId="0" xfId="0" applyFill="1"/>
    <xf numFmtId="164" fontId="0" fillId="3" borderId="0" xfId="0" applyNumberFormat="1" applyFill="1"/>
    <xf numFmtId="0" fontId="10" fillId="4" borderId="0" xfId="0" applyFont="1" applyFill="1"/>
    <xf numFmtId="0" fontId="0" fillId="2" borderId="0" xfId="0" applyFill="1" applyAlignment="1">
      <alignment wrapText="1"/>
    </xf>
    <xf numFmtId="0" fontId="11" fillId="0" borderId="0" xfId="0" applyFont="1"/>
    <xf numFmtId="0" fontId="4" fillId="0" borderId="1" xfId="0" applyFont="1" applyBorder="1"/>
    <xf numFmtId="0" fontId="5" fillId="0" borderId="1" xfId="0" applyFont="1" applyBorder="1"/>
    <xf numFmtId="0" fontId="4" fillId="0" borderId="1" xfId="0" applyFont="1" applyBorder="1" applyAlignment="1">
      <alignment wrapText="1"/>
    </xf>
    <xf numFmtId="0" fontId="9" fillId="6" borderId="0" xfId="0" applyFont="1" applyFill="1" applyAlignment="1">
      <alignment horizontal="center"/>
    </xf>
    <xf numFmtId="0" fontId="12" fillId="0" borderId="0" xfId="0" applyFont="1" applyAlignment="1">
      <alignment wrapText="1"/>
    </xf>
    <xf numFmtId="0" fontId="13" fillId="0" borderId="0" xfId="0" applyFont="1"/>
    <xf numFmtId="0" fontId="0" fillId="3" borderId="0" xfId="0" applyFill="1" applyAlignment="1">
      <alignment wrapText="1"/>
    </xf>
    <xf numFmtId="0" fontId="4" fillId="0" borderId="0" xfId="0" applyFont="1" applyAlignment="1">
      <alignment wrapText="1"/>
    </xf>
    <xf numFmtId="0" fontId="14" fillId="0" borderId="0" xfId="0" applyFont="1" applyAlignment="1">
      <alignment wrapText="1"/>
    </xf>
    <xf numFmtId="0" fontId="15" fillId="0" borderId="0" xfId="0" applyFont="1"/>
    <xf numFmtId="0" fontId="16" fillId="0" borderId="0" xfId="0" applyFont="1"/>
    <xf numFmtId="0" fontId="0" fillId="2"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hyperlink" Target="https://www.apwa.org/education-careers/certification/certified-public-fleet-professional-cpfp/" TargetMode="External"/><Relationship Id="rId2" Type="http://schemas.openxmlformats.org/officeDocument/2006/relationships/hyperlink" Target="https://www.sfwmd.gov/sites/default/files/documents/fleet_life_cycle_12-14.pdf" TargetMode="External"/><Relationship Id="rId3" Type="http://schemas.openxmlformats.org/officeDocument/2006/relationships/hyperlink" Target="https://www.automotive-fleet.com/155875/how-to-calculate-optimal-replacement-cyc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FormatPr defaultRowHeight="15" outlineLevelRow="0" outlineLevelCol="0" x14ac:dyDescent="55"/>
  <cols>
    <col min="1" max="1" width="96" customWidth="1"/>
  </cols>
  <sheetData>
    <row r="1" spans="1:1" x14ac:dyDescent="0.25">
      <c r="A1" s="1" t="s">
        <v>0</v>
      </c>
    </row>
    <row r="2" spans="1:1" x14ac:dyDescent="0.25">
      <c r="A2" s="2" t="s">
        <v>1</v>
      </c>
    </row>
    <row r="3" spans="1:1" x14ac:dyDescent="0.25"/>
    <row r="4" spans="1:6" x14ac:dyDescent="0.25">
      <c r="A4" s="3" t="s">
        <v>2</v>
      </c>
      <c r="B4" s="3"/>
      <c r="C4" s="3"/>
      <c r="D4" s="4" t="s">
        <v>3</v>
      </c>
      <c r="E4" s="4"/>
      <c r="F4" s="4"/>
    </row>
    <row r="5" spans="1:1" x14ac:dyDescent="0.25"/>
    <row r="6" ht="28" customHeight="1" spans="1:1" x14ac:dyDescent="0.25">
      <c r="A6" s="5" t="s">
        <v>4</v>
      </c>
    </row>
    <row r="7" ht="42" customHeight="1" spans="1:1" x14ac:dyDescent="0.25">
      <c r="A7" s="6" t="s">
        <v>5</v>
      </c>
    </row>
    <row r="8" ht="15" customHeight="1" spans="1:1" x14ac:dyDescent="0.25">
      <c r="A8" s="5" t="s">
        <v>6</v>
      </c>
    </row>
    <row r="9" ht="28" customHeight="1" spans="1:1" x14ac:dyDescent="0.25">
      <c r="A9" s="5" t="s">
        <v>7</v>
      </c>
    </row>
    <row r="10" ht="28" customHeight="1" spans="1:1" x14ac:dyDescent="0.25">
      <c r="A10" s="5" t="s">
        <v>8</v>
      </c>
    </row>
    <row r="11" ht="28" customHeight="1" spans="1:1" x14ac:dyDescent="0.25">
      <c r="A11" s="5" t="s">
        <v>9</v>
      </c>
    </row>
    <row r="12" ht="28" customHeight="1" spans="1:1" x14ac:dyDescent="0.25">
      <c r="A12" s="5" t="s">
        <v>10</v>
      </c>
    </row>
    <row r="13" ht="28" customHeight="1" spans="1:1" x14ac:dyDescent="0.25">
      <c r="A13" s="5" t="s">
        <v>11</v>
      </c>
    </row>
    <row r="14" ht="15" customHeight="1" spans="1:1" x14ac:dyDescent="0.25">
      <c r="A14" s="5" t="s">
        <v>12</v>
      </c>
    </row>
    <row r="15" spans="1:1" x14ac:dyDescent="0.25"/>
    <row r="16" spans="1:1" x14ac:dyDescent="0.25">
      <c r="A16" s="7" t="s">
        <v>13</v>
      </c>
    </row>
    <row r="17" spans="1:1" x14ac:dyDescent="0.25">
      <c r="A17" s="8" t="s">
        <v>14</v>
      </c>
    </row>
    <row r="18" spans="1:1" x14ac:dyDescent="0.25">
      <c r="A18" s="8" t="s">
        <v>15</v>
      </c>
    </row>
    <row r="19" spans="1:1" x14ac:dyDescent="0.25">
      <c r="A19" s="8" t="s">
        <v>16</v>
      </c>
    </row>
    <row r="20" spans="1:1" x14ac:dyDescent="0.25"/>
    <row r="21" spans="1:1" x14ac:dyDescent="0.25"/>
    <row r="22" spans="1:1" x14ac:dyDescent="0.25"/>
    <row r="23" spans="1:1" x14ac:dyDescent="0.25"/>
    <row r="24" spans="1:1" x14ac:dyDescent="0.25"/>
    <row r="25" spans="1:1" x14ac:dyDescent="0.25"/>
    <row r="26" spans="1:1" x14ac:dyDescent="0.25"/>
    <row r="27" spans="1:1" x14ac:dyDescent="0.25"/>
    <row r="28" spans="1:1" x14ac:dyDescent="0.25"/>
    <row r="29" spans="1:1" x14ac:dyDescent="0.25"/>
    <row r="30" spans="1:1" x14ac:dyDescent="0.25"/>
    <row r="31" spans="1:1" x14ac:dyDescent="0.25"/>
    <row r="32" spans="1:1" x14ac:dyDescent="0.25"/>
    <row r="33" spans="1:1" x14ac:dyDescent="0.25"/>
    <row r="34" spans="1:1" x14ac:dyDescent="0.25"/>
    <row r="35" spans="1:1" x14ac:dyDescent="0.25"/>
    <row r="36" spans="1:1" x14ac:dyDescent="0.25"/>
    <row r="37" spans="1:1" x14ac:dyDescent="0.25"/>
    <row r="38" spans="1:1" x14ac:dyDescent="0.25"/>
    <row r="39" spans="1:1" x14ac:dyDescent="0.25"/>
    <row r="40" spans="1:1" x14ac:dyDescent="0.25"/>
  </sheetData>
  <mergeCells count="2">
    <mergeCell ref="A4:C4"/>
    <mergeCell ref="D4:F4"/>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FormatPr defaultRowHeight="15" outlineLevelRow="0" outlineLevelCol="0" x14ac:dyDescent="55"/>
  <cols>
    <col min="1" max="1" width="46" customWidth="1"/>
    <col min="2" max="2" width="12" customWidth="1"/>
    <col min="3" max="3" width="62" customWidth="1"/>
  </cols>
  <sheetData>
    <row r="1" spans="1:6" x14ac:dyDescent="0.25">
      <c r="A1" s="3" t="s">
        <v>2</v>
      </c>
      <c r="B1" s="3"/>
      <c r="C1" s="3"/>
      <c r="D1" s="4" t="s">
        <v>3</v>
      </c>
      <c r="E1" s="4"/>
      <c r="F1" s="4"/>
    </row>
    <row r="2" spans="1:1" x14ac:dyDescent="0.25">
      <c r="A2" s="9" t="s">
        <v>17</v>
      </c>
    </row>
    <row r="3" ht="30" customHeight="1" spans="1:3" x14ac:dyDescent="0.25">
      <c r="A3" s="10" t="s">
        <v>18</v>
      </c>
      <c r="B3" s="10" t="s">
        <v>19</v>
      </c>
      <c r="C3" s="10" t="s">
        <v>20</v>
      </c>
    </row>
    <row r="4" spans="1:3" x14ac:dyDescent="0.25">
      <c r="A4" s="11" t="s">
        <v>21</v>
      </c>
      <c r="B4" s="12">
        <v>1</v>
      </c>
      <c r="C4" s="13" t="s">
        <v>22</v>
      </c>
    </row>
    <row r="5" spans="1:3" x14ac:dyDescent="0.25">
      <c r="A5" s="11" t="s">
        <v>23</v>
      </c>
      <c r="B5" s="12">
        <v>12</v>
      </c>
      <c r="C5" s="13" t="s">
        <v>24</v>
      </c>
    </row>
    <row r="6" spans="1:3" x14ac:dyDescent="0.25">
      <c r="A6" s="11" t="s">
        <v>25</v>
      </c>
      <c r="B6" s="12">
        <v>10000</v>
      </c>
      <c r="C6" s="13" t="s">
        <v>26</v>
      </c>
    </row>
    <row r="7" spans="1:3" x14ac:dyDescent="0.25">
      <c r="A7" s="11" t="s">
        <v>27</v>
      </c>
      <c r="B7" s="12">
        <v>5000</v>
      </c>
      <c r="C7" s="13" t="s">
        <v>28</v>
      </c>
    </row>
    <row r="8" spans="1:3" x14ac:dyDescent="0.25">
      <c r="A8" s="11" t="s">
        <v>29</v>
      </c>
      <c r="B8" s="12">
        <v>1000</v>
      </c>
      <c r="C8" s="13" t="s">
        <v>30</v>
      </c>
    </row>
    <row r="9" spans="1:3" x14ac:dyDescent="0.25">
      <c r="A9" s="11" t="s">
        <v>31</v>
      </c>
      <c r="B9" s="12">
        <v>12</v>
      </c>
      <c r="C9" s="13" t="s">
        <v>32</v>
      </c>
    </row>
    <row r="11" spans="1:1" x14ac:dyDescent="0.25">
      <c r="A11" s="7" t="s">
        <v>33</v>
      </c>
    </row>
    <row r="12" spans="1:3" x14ac:dyDescent="0.25">
      <c r="A12" s="11" t="s">
        <v>34</v>
      </c>
      <c r="B12" s="12">
        <v>20</v>
      </c>
      <c r="C12" s="13" t="s">
        <v>35</v>
      </c>
    </row>
    <row r="13" spans="1:3" x14ac:dyDescent="0.25">
      <c r="A13" s="11" t="s">
        <v>36</v>
      </c>
      <c r="B13" s="12">
        <v>40</v>
      </c>
      <c r="C13" s="13" t="s">
        <v>37</v>
      </c>
    </row>
    <row r="14" spans="1:3" x14ac:dyDescent="0.25">
      <c r="A14" s="11" t="s">
        <v>38</v>
      </c>
      <c r="B14" s="12">
        <v>60</v>
      </c>
      <c r="C14" s="13" t="s">
        <v>39</v>
      </c>
    </row>
    <row r="15" spans="1:3" x14ac:dyDescent="0.25">
      <c r="A15" s="11" t="s">
        <v>40</v>
      </c>
      <c r="B15" s="12">
        <v>80</v>
      </c>
      <c r="C15" s="13" t="s">
        <v>41</v>
      </c>
    </row>
    <row r="16" spans="1:3" x14ac:dyDescent="0.25">
      <c r="A16" s="14" t="s">
        <v>42</v>
      </c>
      <c r="B16" s="14"/>
      <c r="C16" s="14"/>
    </row>
    <row r="17" spans="1:1" x14ac:dyDescent="0.25">
      <c r="A17" s="7" t="s">
        <v>43</v>
      </c>
    </row>
    <row r="18" spans="1:3" x14ac:dyDescent="0.25">
      <c r="A18" s="11" t="s">
        <v>44</v>
      </c>
      <c r="B18" s="12">
        <v>18</v>
      </c>
      <c r="C18" s="13" t="s">
        <v>45</v>
      </c>
    </row>
    <row r="19" spans="1:3" x14ac:dyDescent="0.25">
      <c r="A19" s="11" t="s">
        <v>46</v>
      </c>
      <c r="B19" s="12">
        <v>23</v>
      </c>
      <c r="C19" s="13" t="s">
        <v>47</v>
      </c>
    </row>
    <row r="20" spans="1:3" x14ac:dyDescent="0.25">
      <c r="A20" s="11" t="s">
        <v>48</v>
      </c>
      <c r="B20" s="12">
        <v>28</v>
      </c>
      <c r="C20" s="13" t="s">
        <v>49</v>
      </c>
    </row>
    <row r="21" spans="1:3" x14ac:dyDescent="0.25">
      <c r="A21" s="14" t="s">
        <v>50</v>
      </c>
      <c r="B21" s="14"/>
      <c r="C21" s="14"/>
    </row>
    <row r="22" spans="1:1" x14ac:dyDescent="0.25">
      <c r="A22" s="7" t="s">
        <v>51</v>
      </c>
    </row>
    <row r="23" spans="1:3" x14ac:dyDescent="0.25">
      <c r="A23" s="11" t="s">
        <v>52</v>
      </c>
      <c r="B23" s="12">
        <v>1</v>
      </c>
      <c r="C23" s="13" t="s">
        <v>53</v>
      </c>
    </row>
    <row r="24" spans="1:3" x14ac:dyDescent="0.25">
      <c r="A24" s="11" t="s">
        <v>54</v>
      </c>
      <c r="B24" s="12">
        <v>2</v>
      </c>
      <c r="C24" s="13" t="s">
        <v>55</v>
      </c>
    </row>
    <row r="25" spans="1:3" x14ac:dyDescent="0.25">
      <c r="A25" s="11" t="s">
        <v>56</v>
      </c>
      <c r="B25" s="12">
        <v>4</v>
      </c>
      <c r="C25" s="13" t="s">
        <v>57</v>
      </c>
    </row>
    <row r="26" spans="1:3" x14ac:dyDescent="0.25">
      <c r="A26" s="11" t="s">
        <v>58</v>
      </c>
      <c r="B26" s="12">
        <v>6</v>
      </c>
      <c r="C26" s="13" t="s">
        <v>59</v>
      </c>
    </row>
    <row r="27" ht="42" customHeight="1" spans="1:3" x14ac:dyDescent="0.25">
      <c r="A27" s="13" t="s">
        <v>60</v>
      </c>
      <c r="B27" s="13"/>
      <c r="C27" s="13"/>
    </row>
  </sheetData>
  <mergeCells count="5">
    <mergeCell ref="A1:C1"/>
    <mergeCell ref="D1:F1"/>
    <mergeCell ref="A16:C16"/>
    <mergeCell ref="A21:C21"/>
    <mergeCell ref="A27:C27"/>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workbookViewId="0">
      <pane xSplit="2" ySplit="4" topLeftCell="C5" activePane="bottomRight" state="frozen"/>
      <selection pane="bottomRight"/>
    </sheetView>
  </sheetViews>
  <sheetFormatPr defaultRowHeight="15" outlineLevelRow="0" outlineLevelCol="0" x14ac:dyDescent="55"/>
  <cols>
    <col min="1" max="1" width="11" customWidth="1"/>
    <col min="2" max="2" width="34" customWidth="1"/>
    <col min="3" max="3" width="14" customWidth="1"/>
    <col min="4" max="4" width="10" customWidth="1"/>
    <col min="5" max="5" width="12" customWidth="1"/>
    <col min="6" max="7" width="13" customWidth="1"/>
    <col min="9" max="9" width="12" customWidth="1"/>
    <col min="10" max="10" width="11" customWidth="1"/>
    <col min="15" max="15" width="11" customWidth="1"/>
    <col min="16" max="16" width="10" customWidth="1"/>
    <col min="18" max="18" width="11" customWidth="1"/>
    <col min="19" max="19" width="18" customWidth="1"/>
    <col min="21" max="21" width="40" customWidth="1"/>
    <col min="22" max="22" width="10" customWidth="1"/>
    <col min="23" max="23" width="11" customWidth="1"/>
  </cols>
  <sheetData>
    <row r="1" spans="1:6" x14ac:dyDescent="0.25">
      <c r="A1" s="3" t="s">
        <v>2</v>
      </c>
      <c r="B1" s="3"/>
      <c r="C1" s="3"/>
      <c r="D1" s="4" t="s">
        <v>3</v>
      </c>
      <c r="E1" s="4"/>
      <c r="F1" s="4"/>
    </row>
    <row r="2" spans="1:3" x14ac:dyDescent="0.25">
      <c r="A2" s="7" t="s">
        <v>61</v>
      </c>
      <c r="B2" s="12">
        <v>2026</v>
      </c>
      <c r="C2" s="14" t="s">
        <v>62</v>
      </c>
    </row>
    <row r="3" spans="1:23" x14ac:dyDescent="0.25">
      <c r="A3" s="15" t="s">
        <v>63</v>
      </c>
      <c r="B3" s="15"/>
      <c r="C3" s="15"/>
      <c r="D3" s="15"/>
      <c r="E3" s="15"/>
      <c r="F3" s="15"/>
      <c r="G3" s="15"/>
      <c r="H3" s="15"/>
      <c r="I3" s="15"/>
      <c r="J3" s="15"/>
      <c r="K3" s="15"/>
      <c r="L3" s="15"/>
      <c r="M3" s="15"/>
      <c r="N3" s="15"/>
      <c r="O3" s="15"/>
      <c r="P3" s="15"/>
      <c r="Q3" s="15"/>
      <c r="R3" s="15"/>
      <c r="S3" s="15"/>
      <c r="T3" s="15"/>
      <c r="U3" s="15"/>
      <c r="V3" s="15"/>
      <c r="W3" s="15"/>
    </row>
    <row r="4" ht="30" customHeight="1" spans="1:23" x14ac:dyDescent="0.25">
      <c r="A4" s="10" t="s">
        <v>64</v>
      </c>
      <c r="B4" s="10" t="s">
        <v>65</v>
      </c>
      <c r="C4" s="10" t="s">
        <v>66</v>
      </c>
      <c r="D4" s="10" t="s">
        <v>67</v>
      </c>
      <c r="E4" s="10" t="s">
        <v>68</v>
      </c>
      <c r="F4" s="10" t="s">
        <v>69</v>
      </c>
      <c r="G4" s="10" t="s">
        <v>70</v>
      </c>
      <c r="H4" s="10" t="s">
        <v>71</v>
      </c>
      <c r="I4" s="10" t="s">
        <v>72</v>
      </c>
      <c r="J4" s="10" t="s">
        <v>73</v>
      </c>
      <c r="K4" s="10" t="s">
        <v>74</v>
      </c>
      <c r="L4" s="10" t="s">
        <v>75</v>
      </c>
      <c r="M4" s="10" t="s">
        <v>76</v>
      </c>
      <c r="N4" s="10" t="s">
        <v>77</v>
      </c>
      <c r="O4" s="10" t="s">
        <v>78</v>
      </c>
      <c r="P4" s="10" t="s">
        <v>79</v>
      </c>
      <c r="Q4" s="10" t="s">
        <v>80</v>
      </c>
      <c r="R4" s="10" t="s">
        <v>81</v>
      </c>
      <c r="S4" s="10" t="s">
        <v>82</v>
      </c>
      <c r="T4" s="10" t="s">
        <v>83</v>
      </c>
      <c r="U4" s="10" t="s">
        <v>84</v>
      </c>
      <c r="V4" s="10" t="s">
        <v>85</v>
      </c>
      <c r="W4" s="10" t="s">
        <v>86</v>
      </c>
    </row>
    <row r="5" spans="1:23" x14ac:dyDescent="0.25">
      <c r="A5" s="12" t="s">
        <v>87</v>
      </c>
      <c r="B5" s="12" t="s">
        <v>88</v>
      </c>
      <c r="C5" s="12" t="s">
        <v>25</v>
      </c>
      <c r="D5" s="12">
        <v>2022</v>
      </c>
      <c r="E5" s="16">
        <v>31000</v>
      </c>
      <c r="F5" s="16">
        <v>34000</v>
      </c>
      <c r="G5" s="16">
        <v>1800</v>
      </c>
      <c r="H5" s="12">
        <v>1</v>
      </c>
      <c r="I5" s="12">
        <v>0</v>
      </c>
      <c r="J5" s="12">
        <v>1</v>
      </c>
      <c r="K5" s="17">
        <f>IF($A5="","",MIN('Score model'!$B$5,MAX(0,$B$2-D5)*'Score model'!$B$4))</f>
      </c>
      <c r="L5" s="17">
        <f>IF($A5="","",MIN('Score model'!$B$9,ROUND(IFERROR(E5/INDEX('Score model'!$B$6:$B$8,MATCH(C5,'Score model'!$A$6:$A$8,0)),0),0)))</f>
      </c>
      <c r="M5" s="17">
        <f>IF($A5="","",H5)</f>
      </c>
      <c r="N5" s="17">
        <f>IF($A5="","",IF(I5&lt;='Score model'!$B$23,1,IF(I5&lt;='Score model'!$B$24,2,IF(I5&lt;='Score model'!$B$25,3,IF(I5&lt;='Score model'!$B$26,4,5)))))</f>
      </c>
      <c r="O5" s="18">
        <f>IF($A5="","",IFERROR(G5/F5,0))</f>
      </c>
      <c r="P5" s="17">
        <f>IF($A5="","",IF(O5&lt;'Score model'!$B$12/100,1,IF(O5&lt;'Score model'!$B$13/100,2,IF(O5&lt;'Score model'!$B$14/100,3,IF(O5&lt;'Score model'!$B$15/100,4,5)))))</f>
      </c>
      <c r="Q5" s="17">
        <f>IF($A5="","",J5)</f>
      </c>
      <c r="R5" s="19">
        <f>IF($A5="","",ROUND(K5+L5+M5+N5+P5+Q5,0))</f>
      </c>
      <c r="S5" s="17">
        <f>IF($A5="","",IF(R5&gt;='Score model'!$B$20,"Immediate",IF(R5&gt;='Score model'!$B$19,"Needs replacement",IF(R5&gt;='Score model'!$B$18,"Qualifies","Below threshold"))))</f>
      </c>
      <c r="T5" s="17">
        <f>IF($A5="","",RANK(R5,Units!$R$5:$R$204))</f>
      </c>
      <c r="U5" s="20"/>
      <c r="V5" s="12"/>
      <c r="W5" s="17">
        <f>IF($A5="","",IF(V5="","",R5-V5))</f>
      </c>
    </row>
    <row r="6" spans="1:23" x14ac:dyDescent="0.25">
      <c r="A6" s="12" t="s">
        <v>89</v>
      </c>
      <c r="B6" s="12" t="s">
        <v>90</v>
      </c>
      <c r="C6" s="12" t="s">
        <v>25</v>
      </c>
      <c r="D6" s="12">
        <v>2019</v>
      </c>
      <c r="E6" s="16">
        <v>68000</v>
      </c>
      <c r="F6" s="16">
        <v>34000</v>
      </c>
      <c r="G6" s="16">
        <v>6500</v>
      </c>
      <c r="H6" s="12">
        <v>1</v>
      </c>
      <c r="I6" s="12">
        <v>2</v>
      </c>
      <c r="J6" s="12">
        <v>2</v>
      </c>
      <c r="K6" s="17">
        <f>IF($A6="","",MIN('Score model'!$B$5,MAX(0,$B$2-D6)*'Score model'!$B$4))</f>
      </c>
      <c r="L6" s="17">
        <f>IF($A6="","",MIN('Score model'!$B$9,ROUND(IFERROR(E6/INDEX('Score model'!$B$6:$B$8,MATCH(C6,'Score model'!$A$6:$A$8,0)),0),0)))</f>
      </c>
      <c r="M6" s="17">
        <f>IF($A6="","",H6)</f>
      </c>
      <c r="N6" s="17">
        <f>IF($A6="","",IF(I6&lt;='Score model'!$B$23,1,IF(I6&lt;='Score model'!$B$24,2,IF(I6&lt;='Score model'!$B$25,3,IF(I6&lt;='Score model'!$B$26,4,5)))))</f>
      </c>
      <c r="O6" s="18">
        <f>IF($A6="","",IFERROR(G6/F6,0))</f>
      </c>
      <c r="P6" s="17">
        <f>IF($A6="","",IF(O6&lt;'Score model'!$B$12/100,1,IF(O6&lt;'Score model'!$B$13/100,2,IF(O6&lt;'Score model'!$B$14/100,3,IF(O6&lt;'Score model'!$B$15/100,4,5)))))</f>
      </c>
      <c r="Q6" s="17">
        <f>IF($A6="","",J6)</f>
      </c>
      <c r="R6" s="19">
        <f>IF($A6="","",ROUND(K6+L6+M6+N6+P6+Q6,0))</f>
      </c>
      <c r="S6" s="17">
        <f>IF($A6="","",IF(R6&gt;='Score model'!$B$20,"Immediate",IF(R6&gt;='Score model'!$B$19,"Needs replacement",IF(R6&gt;='Score model'!$B$18,"Qualifies","Below threshold"))))</f>
      </c>
      <c r="T6" s="17">
        <f>IF($A6="","",RANK(R6,Units!$R$5:$R$204))</f>
      </c>
      <c r="U6" s="20"/>
      <c r="V6" s="12">
        <v>17</v>
      </c>
      <c r="W6" s="17">
        <f>IF($A6="","",IF(V6="","",R6-V6))</f>
      </c>
    </row>
    <row r="7" spans="1:23" x14ac:dyDescent="0.25">
      <c r="A7" s="12" t="s">
        <v>91</v>
      </c>
      <c r="B7" s="12" t="s">
        <v>92</v>
      </c>
      <c r="C7" s="12" t="s">
        <v>25</v>
      </c>
      <c r="D7" s="12">
        <v>2016</v>
      </c>
      <c r="E7" s="16">
        <v>96000</v>
      </c>
      <c r="F7" s="16">
        <v>48000</v>
      </c>
      <c r="G7" s="16">
        <v>22000</v>
      </c>
      <c r="H7" s="12">
        <v>2</v>
      </c>
      <c r="I7" s="12">
        <v>4</v>
      </c>
      <c r="J7" s="12">
        <v>3</v>
      </c>
      <c r="K7" s="17">
        <f>IF($A7="","",MIN('Score model'!$B$5,MAX(0,$B$2-D7)*'Score model'!$B$4))</f>
      </c>
      <c r="L7" s="17">
        <f>IF($A7="","",MIN('Score model'!$B$9,ROUND(IFERROR(E7/INDEX('Score model'!$B$6:$B$8,MATCH(C7,'Score model'!$A$6:$A$8,0)),0),0)))</f>
      </c>
      <c r="M7" s="17">
        <f>IF($A7="","",H7)</f>
      </c>
      <c r="N7" s="17">
        <f>IF($A7="","",IF(I7&lt;='Score model'!$B$23,1,IF(I7&lt;='Score model'!$B$24,2,IF(I7&lt;='Score model'!$B$25,3,IF(I7&lt;='Score model'!$B$26,4,5)))))</f>
      </c>
      <c r="O7" s="18">
        <f>IF($A7="","",IFERROR(G7/F7,0))</f>
      </c>
      <c r="P7" s="17">
        <f>IF($A7="","",IF(O7&lt;'Score model'!$B$12/100,1,IF(O7&lt;'Score model'!$B$13/100,2,IF(O7&lt;'Score model'!$B$14/100,3,IF(O7&lt;'Score model'!$B$15/100,4,5)))))</f>
      </c>
      <c r="Q7" s="17">
        <f>IF($A7="","",J7)</f>
      </c>
      <c r="R7" s="19">
        <f>IF($A7="","",ROUND(K7+L7+M7+N7+P7+Q7,0))</f>
      </c>
      <c r="S7" s="17">
        <f>IF($A7="","",IF(R7&gt;='Score model'!$B$20,"Immediate",IF(R7&gt;='Score model'!$B$19,"Needs replacement",IF(R7&gt;='Score model'!$B$18,"Qualifies","Below threshold"))))</f>
      </c>
      <c r="T7" s="17">
        <f>IF($A7="","",RANK(R7,Units!$R$5:$R$204))</f>
      </c>
      <c r="U7" s="20" t="s">
        <v>93</v>
      </c>
      <c r="V7" s="12">
        <v>27</v>
      </c>
      <c r="W7" s="17">
        <f>IF($A7="","",IF(V7="","",R7-V7))</f>
      </c>
    </row>
    <row r="8" spans="1:23" x14ac:dyDescent="0.25">
      <c r="A8" s="12" t="s">
        <v>94</v>
      </c>
      <c r="B8" s="12" t="s">
        <v>95</v>
      </c>
      <c r="C8" s="12" t="s">
        <v>25</v>
      </c>
      <c r="D8" s="12">
        <v>2015</v>
      </c>
      <c r="E8" s="16">
        <v>96000</v>
      </c>
      <c r="F8" s="16">
        <v>58000</v>
      </c>
      <c r="G8" s="16">
        <v>40000</v>
      </c>
      <c r="H8" s="12">
        <v>3</v>
      </c>
      <c r="I8" s="12">
        <v>5</v>
      </c>
      <c r="J8" s="12">
        <v>4</v>
      </c>
      <c r="K8" s="17">
        <f>IF($A8="","",MIN('Score model'!$B$5,MAX(0,$B$2-D8)*'Score model'!$B$4))</f>
      </c>
      <c r="L8" s="17">
        <f>IF($A8="","",MIN('Score model'!$B$9,ROUND(IFERROR(E8/INDEX('Score model'!$B$6:$B$8,MATCH(C8,'Score model'!$A$6:$A$8,0)),0),0)))</f>
      </c>
      <c r="M8" s="17">
        <f>IF($A8="","",H8)</f>
      </c>
      <c r="N8" s="17">
        <f>IF($A8="","",IF(I8&lt;='Score model'!$B$23,1,IF(I8&lt;='Score model'!$B$24,2,IF(I8&lt;='Score model'!$B$25,3,IF(I8&lt;='Score model'!$B$26,4,5)))))</f>
      </c>
      <c r="O8" s="18">
        <f>IF($A8="","",IFERROR(G8/F8,0))</f>
      </c>
      <c r="P8" s="17">
        <f>IF($A8="","",IF(O8&lt;'Score model'!$B$12/100,1,IF(O8&lt;'Score model'!$B$13/100,2,IF(O8&lt;'Score model'!$B$14/100,3,IF(O8&lt;'Score model'!$B$15/100,4,5)))))</f>
      </c>
      <c r="Q8" s="17">
        <f>IF($A8="","",J8)</f>
      </c>
      <c r="R8" s="19">
        <f>IF($A8="","",ROUND(K8+L8+M8+N8+P8+Q8,0))</f>
      </c>
      <c r="S8" s="17">
        <f>IF($A8="","",IF(R8&gt;='Score model'!$B$20,"Immediate",IF(R8&gt;='Score model'!$B$19,"Needs replacement",IF(R8&gt;='Score model'!$B$18,"Qualifies","Below threshold"))))</f>
      </c>
      <c r="T8" s="17">
        <f>IF($A8="","",RANK(R8,Units!$R$5:$R$204))</f>
      </c>
      <c r="U8" s="20"/>
      <c r="V8" s="12">
        <v>31</v>
      </c>
      <c r="W8" s="17">
        <f>IF($A8="","",IF(V8="","",R8-V8))</f>
      </c>
    </row>
    <row r="9" spans="1:23" x14ac:dyDescent="0.25">
      <c r="A9" s="12" t="s">
        <v>96</v>
      </c>
      <c r="B9" s="12" t="s">
        <v>97</v>
      </c>
      <c r="C9" s="12" t="s">
        <v>25</v>
      </c>
      <c r="D9" s="12">
        <v>2021</v>
      </c>
      <c r="E9" s="16">
        <v>54000</v>
      </c>
      <c r="F9" s="16">
        <v>52000</v>
      </c>
      <c r="G9" s="16">
        <v>7400</v>
      </c>
      <c r="H9" s="12">
        <v>2</v>
      </c>
      <c r="I9" s="12">
        <v>1</v>
      </c>
      <c r="J9" s="12">
        <v>2</v>
      </c>
      <c r="K9" s="17">
        <f>IF($A9="","",MIN('Score model'!$B$5,MAX(0,$B$2-D9)*'Score model'!$B$4))</f>
      </c>
      <c r="L9" s="17">
        <f>IF($A9="","",MIN('Score model'!$B$9,ROUND(IFERROR(E9/INDEX('Score model'!$B$6:$B$8,MATCH(C9,'Score model'!$A$6:$A$8,0)),0),0)))</f>
      </c>
      <c r="M9" s="17">
        <f>IF($A9="","",H9)</f>
      </c>
      <c r="N9" s="17">
        <f>IF($A9="","",IF(I9&lt;='Score model'!$B$23,1,IF(I9&lt;='Score model'!$B$24,2,IF(I9&lt;='Score model'!$B$25,3,IF(I9&lt;='Score model'!$B$26,4,5)))))</f>
      </c>
      <c r="O9" s="18">
        <f>IF($A9="","",IFERROR(G9/F9,0))</f>
      </c>
      <c r="P9" s="17">
        <f>IF($A9="","",IF(O9&lt;'Score model'!$B$12/100,1,IF(O9&lt;'Score model'!$B$13/100,2,IF(O9&lt;'Score model'!$B$14/100,3,IF(O9&lt;'Score model'!$B$15/100,4,5)))))</f>
      </c>
      <c r="Q9" s="17">
        <f>IF($A9="","",J9)</f>
      </c>
      <c r="R9" s="19">
        <f>IF($A9="","",ROUND(K9+L9+M9+N9+P9+Q9,0))</f>
      </c>
      <c r="S9" s="17">
        <f>IF($A9="","",IF(R9&gt;='Score model'!$B$20,"Immediate",IF(R9&gt;='Score model'!$B$19,"Needs replacement",IF(R9&gt;='Score model'!$B$18,"Qualifies","Below threshold"))))</f>
      </c>
      <c r="T9" s="17">
        <f>IF($A9="","",RANK(R9,Units!$R$5:$R$204))</f>
      </c>
      <c r="U9" s="20"/>
      <c r="V9" s="12"/>
      <c r="W9" s="17">
        <f>IF($A9="","",IF(V9="","",R9-V9))</f>
      </c>
    </row>
    <row r="10" spans="1:23" x14ac:dyDescent="0.25">
      <c r="A10" s="12" t="s">
        <v>98</v>
      </c>
      <c r="B10" s="12" t="s">
        <v>99</v>
      </c>
      <c r="C10" s="12" t="s">
        <v>25</v>
      </c>
      <c r="D10" s="12">
        <v>2018</v>
      </c>
      <c r="E10" s="16">
        <v>82000</v>
      </c>
      <c r="F10" s="16">
        <v>62000</v>
      </c>
      <c r="G10" s="16">
        <v>23000</v>
      </c>
      <c r="H10" s="12">
        <v>3</v>
      </c>
      <c r="I10" s="12">
        <v>3</v>
      </c>
      <c r="J10" s="12">
        <v>2</v>
      </c>
      <c r="K10" s="17">
        <f>IF($A10="","",MIN('Score model'!$B$5,MAX(0,$B$2-D10)*'Score model'!$B$4))</f>
      </c>
      <c r="L10" s="17">
        <f>IF($A10="","",MIN('Score model'!$B$9,ROUND(IFERROR(E10/INDEX('Score model'!$B$6:$B$8,MATCH(C10,'Score model'!$A$6:$A$8,0)),0),0)))</f>
      </c>
      <c r="M10" s="17">
        <f>IF($A10="","",H10)</f>
      </c>
      <c r="N10" s="17">
        <f>IF($A10="","",IF(I10&lt;='Score model'!$B$23,1,IF(I10&lt;='Score model'!$B$24,2,IF(I10&lt;='Score model'!$B$25,3,IF(I10&lt;='Score model'!$B$26,4,5)))))</f>
      </c>
      <c r="O10" s="18">
        <f>IF($A10="","",IFERROR(G10/F10,0))</f>
      </c>
      <c r="P10" s="17">
        <f>IF($A10="","",IF(O10&lt;'Score model'!$B$12/100,1,IF(O10&lt;'Score model'!$B$13/100,2,IF(O10&lt;'Score model'!$B$14/100,3,IF(O10&lt;'Score model'!$B$15/100,4,5)))))</f>
      </c>
      <c r="Q10" s="17">
        <f>IF($A10="","",J10)</f>
      </c>
      <c r="R10" s="19">
        <f>IF($A10="","",ROUND(K10+L10+M10+N10+P10+Q10,0))</f>
      </c>
      <c r="S10" s="17">
        <f>IF($A10="","",IF(R10&gt;='Score model'!$B$20,"Immediate",IF(R10&gt;='Score model'!$B$19,"Needs replacement",IF(R10&gt;='Score model'!$B$18,"Qualifies","Below threshold"))))</f>
      </c>
      <c r="T10" s="17">
        <f>IF($A10="","",RANK(R10,Units!$R$5:$R$204))</f>
      </c>
      <c r="U10" s="20"/>
      <c r="V10" s="12">
        <v>23</v>
      </c>
      <c r="W10" s="17">
        <f>IF($A10="","",IF(V10="","",R10-V10))</f>
      </c>
    </row>
    <row r="11" spans="1:23" x14ac:dyDescent="0.25">
      <c r="A11" s="12" t="s">
        <v>100</v>
      </c>
      <c r="B11" s="12" t="s">
        <v>101</v>
      </c>
      <c r="C11" s="12" t="s">
        <v>27</v>
      </c>
      <c r="D11" s="12">
        <v>2019</v>
      </c>
      <c r="E11" s="16">
        <v>46000</v>
      </c>
      <c r="F11" s="16">
        <v>78000</v>
      </c>
      <c r="G11" s="16">
        <v>25000</v>
      </c>
      <c r="H11" s="12">
        <v>4</v>
      </c>
      <c r="I11" s="12">
        <v>3</v>
      </c>
      <c r="J11" s="12">
        <v>3</v>
      </c>
      <c r="K11" s="17">
        <f>IF($A11="","",MIN('Score model'!$B$5,MAX(0,$B$2-D11)*'Score model'!$B$4))</f>
      </c>
      <c r="L11" s="17">
        <f>IF($A11="","",MIN('Score model'!$B$9,ROUND(IFERROR(E11/INDEX('Score model'!$B$6:$B$8,MATCH(C11,'Score model'!$A$6:$A$8,0)),0),0)))</f>
      </c>
      <c r="M11" s="17">
        <f>IF($A11="","",H11)</f>
      </c>
      <c r="N11" s="17">
        <f>IF($A11="","",IF(I11&lt;='Score model'!$B$23,1,IF(I11&lt;='Score model'!$B$24,2,IF(I11&lt;='Score model'!$B$25,3,IF(I11&lt;='Score model'!$B$26,4,5)))))</f>
      </c>
      <c r="O11" s="18">
        <f>IF($A11="","",IFERROR(G11/F11,0))</f>
      </c>
      <c r="P11" s="17">
        <f>IF($A11="","",IF(O11&lt;'Score model'!$B$12/100,1,IF(O11&lt;'Score model'!$B$13/100,2,IF(O11&lt;'Score model'!$B$14/100,3,IF(O11&lt;'Score model'!$B$15/100,4,5)))))</f>
      </c>
      <c r="Q11" s="17">
        <f>IF($A11="","",J11)</f>
      </c>
      <c r="R11" s="19">
        <f>IF($A11="","",ROUND(K11+L11+M11+N11+P11+Q11,0))</f>
      </c>
      <c r="S11" s="17">
        <f>IF($A11="","",IF(R11&gt;='Score model'!$B$20,"Immediate",IF(R11&gt;='Score model'!$B$19,"Needs replacement",IF(R11&gt;='Score model'!$B$18,"Qualifies","Below threshold"))))</f>
      </c>
      <c r="T11" s="17">
        <f>IF($A11="","",RANK(R11,Units!$R$5:$R$204))</f>
      </c>
      <c r="U11" s="20"/>
      <c r="V11" s="12">
        <v>25</v>
      </c>
      <c r="W11" s="17">
        <f>IF($A11="","",IF(V11="","",R11-V11))</f>
      </c>
    </row>
    <row r="12" spans="1:23" x14ac:dyDescent="0.25">
      <c r="A12" s="12" t="s">
        <v>102</v>
      </c>
      <c r="B12" s="12" t="s">
        <v>103</v>
      </c>
      <c r="C12" s="12" t="s">
        <v>27</v>
      </c>
      <c r="D12" s="12">
        <v>2006</v>
      </c>
      <c r="E12" s="16">
        <v>250000</v>
      </c>
      <c r="F12" s="16">
        <v>245000</v>
      </c>
      <c r="G12" s="16">
        <v>205000</v>
      </c>
      <c r="H12" s="12">
        <v>5</v>
      </c>
      <c r="I12" s="12">
        <v>9</v>
      </c>
      <c r="J12" s="12">
        <v>5</v>
      </c>
      <c r="K12" s="17">
        <f>IF($A12="","",MIN('Score model'!$B$5,MAX(0,$B$2-D12)*'Score model'!$B$4))</f>
      </c>
      <c r="L12" s="17">
        <f>IF($A12="","",MIN('Score model'!$B$9,ROUND(IFERROR(E12/INDEX('Score model'!$B$6:$B$8,MATCH(C12,'Score model'!$A$6:$A$8,0)),0),0)))</f>
      </c>
      <c r="M12" s="17">
        <f>IF($A12="","",H12)</f>
      </c>
      <c r="N12" s="17">
        <f>IF($A12="","",IF(I12&lt;='Score model'!$B$23,1,IF(I12&lt;='Score model'!$B$24,2,IF(I12&lt;='Score model'!$B$25,3,IF(I12&lt;='Score model'!$B$26,4,5)))))</f>
      </c>
      <c r="O12" s="18">
        <f>IF($A12="","",IFERROR(G12/F12,0))</f>
      </c>
      <c r="P12" s="17">
        <f>IF($A12="","",IF(O12&lt;'Score model'!$B$12/100,1,IF(O12&lt;'Score model'!$B$13/100,2,IF(O12&lt;'Score model'!$B$14/100,3,IF(O12&lt;'Score model'!$B$15/100,4,5)))))</f>
      </c>
      <c r="Q12" s="17">
        <f>IF($A12="","",J12)</f>
      </c>
      <c r="R12" s="19">
        <f>IF($A12="","",ROUND(K12+L12+M12+N12+P12+Q12,0))</f>
      </c>
      <c r="S12" s="17">
        <f>IF($A12="","",IF(R12&gt;='Score model'!$B$20,"Immediate",IF(R12&gt;='Score model'!$B$19,"Needs replacement",IF(R12&gt;='Score model'!$B$18,"Qualifies","Below threshold"))))</f>
      </c>
      <c r="T12" s="17">
        <f>IF($A12="","",RANK(R12,Units!$R$5:$R$204))</f>
      </c>
      <c r="U12" s="20" t="s">
        <v>104</v>
      </c>
      <c r="V12" s="12">
        <v>41</v>
      </c>
      <c r="W12" s="17">
        <f>IF($A12="","",IF(V12="","",R12-V12))</f>
      </c>
    </row>
    <row r="13" spans="1:23" x14ac:dyDescent="0.25">
      <c r="A13" s="12" t="s">
        <v>105</v>
      </c>
      <c r="B13" s="12" t="s">
        <v>106</v>
      </c>
      <c r="C13" s="12" t="s">
        <v>27</v>
      </c>
      <c r="D13" s="12">
        <v>2020</v>
      </c>
      <c r="E13" s="16">
        <v>28000</v>
      </c>
      <c r="F13" s="16">
        <v>215000</v>
      </c>
      <c r="G13" s="16">
        <v>31000</v>
      </c>
      <c r="H13" s="12">
        <v>5</v>
      </c>
      <c r="I13" s="12">
        <v>2</v>
      </c>
      <c r="J13" s="12">
        <v>2</v>
      </c>
      <c r="K13" s="17">
        <f>IF($A13="","",MIN('Score model'!$B$5,MAX(0,$B$2-D13)*'Score model'!$B$4))</f>
      </c>
      <c r="L13" s="17">
        <f>IF($A13="","",MIN('Score model'!$B$9,ROUND(IFERROR(E13/INDEX('Score model'!$B$6:$B$8,MATCH(C13,'Score model'!$A$6:$A$8,0)),0),0)))</f>
      </c>
      <c r="M13" s="17">
        <f>IF($A13="","",H13)</f>
      </c>
      <c r="N13" s="17">
        <f>IF($A13="","",IF(I13&lt;='Score model'!$B$23,1,IF(I13&lt;='Score model'!$B$24,2,IF(I13&lt;='Score model'!$B$25,3,IF(I13&lt;='Score model'!$B$26,4,5)))))</f>
      </c>
      <c r="O13" s="18">
        <f>IF($A13="","",IFERROR(G13/F13,0))</f>
      </c>
      <c r="P13" s="17">
        <f>IF($A13="","",IF(O13&lt;'Score model'!$B$12/100,1,IF(O13&lt;'Score model'!$B$13/100,2,IF(O13&lt;'Score model'!$B$14/100,3,IF(O13&lt;'Score model'!$B$15/100,4,5)))))</f>
      </c>
      <c r="Q13" s="17">
        <f>IF($A13="","",J13)</f>
      </c>
      <c r="R13" s="19">
        <f>IF($A13="","",ROUND(K13+L13+M13+N13+P13+Q13,0))</f>
      </c>
      <c r="S13" s="17">
        <f>IF($A13="","",IF(R13&gt;='Score model'!$B$20,"Immediate",IF(R13&gt;='Score model'!$B$19,"Needs replacement",IF(R13&gt;='Score model'!$B$18,"Qualifies","Below threshold"))))</f>
      </c>
      <c r="T13" s="17">
        <f>IF($A13="","",RANK(R13,Units!$R$5:$R$204))</f>
      </c>
      <c r="U13" s="20"/>
      <c r="V13" s="12"/>
      <c r="W13" s="17">
        <f>IF($A13="","",IF(V13="","",R13-V13))</f>
      </c>
    </row>
    <row r="14" spans="1:23" x14ac:dyDescent="0.25">
      <c r="A14" s="12" t="s">
        <v>107</v>
      </c>
      <c r="B14" s="12" t="s">
        <v>108</v>
      </c>
      <c r="C14" s="12" t="s">
        <v>27</v>
      </c>
      <c r="D14" s="12">
        <v>2017</v>
      </c>
      <c r="E14" s="16">
        <v>48000</v>
      </c>
      <c r="F14" s="16">
        <v>215000</v>
      </c>
      <c r="G14" s="16">
        <v>62000</v>
      </c>
      <c r="H14" s="12">
        <v>5</v>
      </c>
      <c r="I14" s="12">
        <v>4</v>
      </c>
      <c r="J14" s="12">
        <v>3</v>
      </c>
      <c r="K14" s="17">
        <f>IF($A14="","",MIN('Score model'!$B$5,MAX(0,$B$2-D14)*'Score model'!$B$4))</f>
      </c>
      <c r="L14" s="17">
        <f>IF($A14="","",MIN('Score model'!$B$9,ROUND(IFERROR(E14/INDEX('Score model'!$B$6:$B$8,MATCH(C14,'Score model'!$A$6:$A$8,0)),0),0)))</f>
      </c>
      <c r="M14" s="17">
        <f>IF($A14="","",H14)</f>
      </c>
      <c r="N14" s="17">
        <f>IF($A14="","",IF(I14&lt;='Score model'!$B$23,1,IF(I14&lt;='Score model'!$B$24,2,IF(I14&lt;='Score model'!$B$25,3,IF(I14&lt;='Score model'!$B$26,4,5)))))</f>
      </c>
      <c r="O14" s="18">
        <f>IF($A14="","",IFERROR(G14/F14,0))</f>
      </c>
      <c r="P14" s="17">
        <f>IF($A14="","",IF(O14&lt;'Score model'!$B$12/100,1,IF(O14&lt;'Score model'!$B$13/100,2,IF(O14&lt;'Score model'!$B$14/100,3,IF(O14&lt;'Score model'!$B$15/100,4,5)))))</f>
      </c>
      <c r="Q14" s="17">
        <f>IF($A14="","",J14)</f>
      </c>
      <c r="R14" s="19">
        <f>IF($A14="","",ROUND(K14+L14+M14+N14+P14+Q14,0))</f>
      </c>
      <c r="S14" s="17">
        <f>IF($A14="","",IF(R14&gt;='Score model'!$B$20,"Immediate",IF(R14&gt;='Score model'!$B$19,"Needs replacement",IF(R14&gt;='Score model'!$B$18,"Qualifies","Below threshold"))))</f>
      </c>
      <c r="T14" s="17">
        <f>IF($A14="","",RANK(R14,Units!$R$5:$R$204))</f>
      </c>
      <c r="U14" s="20"/>
      <c r="V14" s="12">
        <v>29</v>
      </c>
      <c r="W14" s="17">
        <f>IF($A14="","",IF(V14="","",R14-V14))</f>
      </c>
    </row>
    <row r="15" spans="1:23" x14ac:dyDescent="0.25">
      <c r="A15" s="12" t="s">
        <v>109</v>
      </c>
      <c r="B15" s="12" t="s">
        <v>110</v>
      </c>
      <c r="C15" s="12" t="s">
        <v>27</v>
      </c>
      <c r="D15" s="12">
        <v>2021</v>
      </c>
      <c r="E15" s="16">
        <v>39000</v>
      </c>
      <c r="F15" s="16">
        <v>340000</v>
      </c>
      <c r="G15" s="16">
        <v>44000</v>
      </c>
      <c r="H15" s="12">
        <v>5</v>
      </c>
      <c r="I15" s="12">
        <v>3</v>
      </c>
      <c r="J15" s="12">
        <v>2</v>
      </c>
      <c r="K15" s="17">
        <f>IF($A15="","",MIN('Score model'!$B$5,MAX(0,$B$2-D15)*'Score model'!$B$4))</f>
      </c>
      <c r="L15" s="17">
        <f>IF($A15="","",MIN('Score model'!$B$9,ROUND(IFERROR(E15/INDEX('Score model'!$B$6:$B$8,MATCH(C15,'Score model'!$A$6:$A$8,0)),0),0)))</f>
      </c>
      <c r="M15" s="17">
        <f>IF($A15="","",H15)</f>
      </c>
      <c r="N15" s="17">
        <f>IF($A15="","",IF(I15&lt;='Score model'!$B$23,1,IF(I15&lt;='Score model'!$B$24,2,IF(I15&lt;='Score model'!$B$25,3,IF(I15&lt;='Score model'!$B$26,4,5)))))</f>
      </c>
      <c r="O15" s="18">
        <f>IF($A15="","",IFERROR(G15/F15,0))</f>
      </c>
      <c r="P15" s="17">
        <f>IF($A15="","",IF(O15&lt;'Score model'!$B$12/100,1,IF(O15&lt;'Score model'!$B$13/100,2,IF(O15&lt;'Score model'!$B$14/100,3,IF(O15&lt;'Score model'!$B$15/100,4,5)))))</f>
      </c>
      <c r="Q15" s="17">
        <f>IF($A15="","",J15)</f>
      </c>
      <c r="R15" s="19">
        <f>IF($A15="","",ROUND(K15+L15+M15+N15+P15+Q15,0))</f>
      </c>
      <c r="S15" s="17">
        <f>IF($A15="","",IF(R15&gt;='Score model'!$B$20,"Immediate",IF(R15&gt;='Score model'!$B$19,"Needs replacement",IF(R15&gt;='Score model'!$B$18,"Qualifies","Below threshold"))))</f>
      </c>
      <c r="T15" s="17">
        <f>IF($A15="","",RANK(R15,Units!$R$5:$R$204))</f>
      </c>
      <c r="U15" s="20"/>
      <c r="V15" s="12">
        <v>21</v>
      </c>
      <c r="W15" s="17">
        <f>IF($A15="","",IF(V15="","",R15-V15))</f>
      </c>
    </row>
    <row r="16" spans="1:23" x14ac:dyDescent="0.25">
      <c r="A16" s="12" t="s">
        <v>111</v>
      </c>
      <c r="B16" s="12" t="s">
        <v>112</v>
      </c>
      <c r="C16" s="12" t="s">
        <v>27</v>
      </c>
      <c r="D16" s="12">
        <v>2023</v>
      </c>
      <c r="E16" s="16">
        <v>21000</v>
      </c>
      <c r="F16" s="16">
        <v>340000</v>
      </c>
      <c r="G16" s="16">
        <v>12000</v>
      </c>
      <c r="H16" s="12">
        <v>5</v>
      </c>
      <c r="I16" s="12">
        <v>1</v>
      </c>
      <c r="J16" s="12">
        <v>1</v>
      </c>
      <c r="K16" s="17">
        <f>IF($A16="","",MIN('Score model'!$B$5,MAX(0,$B$2-D16)*'Score model'!$B$4))</f>
      </c>
      <c r="L16" s="17">
        <f>IF($A16="","",MIN('Score model'!$B$9,ROUND(IFERROR(E16/INDEX('Score model'!$B$6:$B$8,MATCH(C16,'Score model'!$A$6:$A$8,0)),0),0)))</f>
      </c>
      <c r="M16" s="17">
        <f>IF($A16="","",H16)</f>
      </c>
      <c r="N16" s="17">
        <f>IF($A16="","",IF(I16&lt;='Score model'!$B$23,1,IF(I16&lt;='Score model'!$B$24,2,IF(I16&lt;='Score model'!$B$25,3,IF(I16&lt;='Score model'!$B$26,4,5)))))</f>
      </c>
      <c r="O16" s="18">
        <f>IF($A16="","",IFERROR(G16/F16,0))</f>
      </c>
      <c r="P16" s="17">
        <f>IF($A16="","",IF(O16&lt;'Score model'!$B$12/100,1,IF(O16&lt;'Score model'!$B$13/100,2,IF(O16&lt;'Score model'!$B$14/100,3,IF(O16&lt;'Score model'!$B$15/100,4,5)))))</f>
      </c>
      <c r="Q16" s="17">
        <f>IF($A16="","",J16)</f>
      </c>
      <c r="R16" s="19">
        <f>IF($A16="","",ROUND(K16+L16+M16+N16+P16+Q16,0))</f>
      </c>
      <c r="S16" s="17">
        <f>IF($A16="","",IF(R16&gt;='Score model'!$B$20,"Immediate",IF(R16&gt;='Score model'!$B$19,"Needs replacement",IF(R16&gt;='Score model'!$B$18,"Qualifies","Below threshold"))))</f>
      </c>
      <c r="T16" s="17">
        <f>IF($A16="","",RANK(R16,Units!$R$5:$R$204))</f>
      </c>
      <c r="U16" s="20"/>
      <c r="V16" s="12"/>
      <c r="W16" s="17">
        <f>IF($A16="","",IF(V16="","",R16-V16))</f>
      </c>
    </row>
    <row r="17" spans="1:23" x14ac:dyDescent="0.25">
      <c r="A17" s="12" t="s">
        <v>113</v>
      </c>
      <c r="B17" s="12" t="s">
        <v>114</v>
      </c>
      <c r="C17" s="12" t="s">
        <v>29</v>
      </c>
      <c r="D17" s="12">
        <v>2016</v>
      </c>
      <c r="E17" s="16">
        <v>5400</v>
      </c>
      <c r="F17" s="16">
        <v>125000</v>
      </c>
      <c r="G17" s="16">
        <v>41000</v>
      </c>
      <c r="H17" s="12">
        <v>4</v>
      </c>
      <c r="I17" s="12">
        <v>2</v>
      </c>
      <c r="J17" s="12">
        <v>3</v>
      </c>
      <c r="K17" s="17">
        <f>IF($A17="","",MIN('Score model'!$B$5,MAX(0,$B$2-D17)*'Score model'!$B$4))</f>
      </c>
      <c r="L17" s="17">
        <f>IF($A17="","",MIN('Score model'!$B$9,ROUND(IFERROR(E17/INDEX('Score model'!$B$6:$B$8,MATCH(C17,'Score model'!$A$6:$A$8,0)),0),0)))</f>
      </c>
      <c r="M17" s="17">
        <f>IF($A17="","",H17)</f>
      </c>
      <c r="N17" s="17">
        <f>IF($A17="","",IF(I17&lt;='Score model'!$B$23,1,IF(I17&lt;='Score model'!$B$24,2,IF(I17&lt;='Score model'!$B$25,3,IF(I17&lt;='Score model'!$B$26,4,5)))))</f>
      </c>
      <c r="O17" s="18">
        <f>IF($A17="","",IFERROR(G17/F17,0))</f>
      </c>
      <c r="P17" s="17">
        <f>IF($A17="","",IF(O17&lt;'Score model'!$B$12/100,1,IF(O17&lt;'Score model'!$B$13/100,2,IF(O17&lt;'Score model'!$B$14/100,3,IF(O17&lt;'Score model'!$B$15/100,4,5)))))</f>
      </c>
      <c r="Q17" s="17">
        <f>IF($A17="","",J17)</f>
      </c>
      <c r="R17" s="19">
        <f>IF($A17="","",ROUND(K17+L17+M17+N17+P17+Q17,0))</f>
      </c>
      <c r="S17" s="17">
        <f>IF($A17="","",IF(R17&gt;='Score model'!$B$20,"Immediate",IF(R17&gt;='Score model'!$B$19,"Needs replacement",IF(R17&gt;='Score model'!$B$18,"Qualifies","Below threshold"))))</f>
      </c>
      <c r="T17" s="17">
        <f>IF($A17="","",RANK(R17,Units!$R$5:$R$204))</f>
      </c>
      <c r="U17" s="20" t="s">
        <v>115</v>
      </c>
      <c r="V17" s="12">
        <v>24</v>
      </c>
      <c r="W17" s="17">
        <f>IF($A17="","",IF(V17="","",R17-V17))</f>
      </c>
    </row>
    <row r="18" spans="1:23" x14ac:dyDescent="0.25">
      <c r="A18" s="12" t="s">
        <v>116</v>
      </c>
      <c r="B18" s="12" t="s">
        <v>117</v>
      </c>
      <c r="C18" s="12" t="s">
        <v>29</v>
      </c>
      <c r="D18" s="12">
        <v>2019</v>
      </c>
      <c r="E18" s="16">
        <v>3100</v>
      </c>
      <c r="F18" s="16">
        <v>78000</v>
      </c>
      <c r="G18" s="16">
        <v>14000</v>
      </c>
      <c r="H18" s="12">
        <v>3</v>
      </c>
      <c r="I18" s="12">
        <v>2</v>
      </c>
      <c r="J18" s="12">
        <v>2</v>
      </c>
      <c r="K18" s="17">
        <f>IF($A18="","",MIN('Score model'!$B$5,MAX(0,$B$2-D18)*'Score model'!$B$4))</f>
      </c>
      <c r="L18" s="17">
        <f>IF($A18="","",MIN('Score model'!$B$9,ROUND(IFERROR(E18/INDEX('Score model'!$B$6:$B$8,MATCH(C18,'Score model'!$A$6:$A$8,0)),0),0)))</f>
      </c>
      <c r="M18" s="17">
        <f>IF($A18="","",H18)</f>
      </c>
      <c r="N18" s="17">
        <f>IF($A18="","",IF(I18&lt;='Score model'!$B$23,1,IF(I18&lt;='Score model'!$B$24,2,IF(I18&lt;='Score model'!$B$25,3,IF(I18&lt;='Score model'!$B$26,4,5)))))</f>
      </c>
      <c r="O18" s="18">
        <f>IF($A18="","",IFERROR(G18/F18,0))</f>
      </c>
      <c r="P18" s="17">
        <f>IF($A18="","",IF(O18&lt;'Score model'!$B$12/100,1,IF(O18&lt;'Score model'!$B$13/100,2,IF(O18&lt;'Score model'!$B$14/100,3,IF(O18&lt;'Score model'!$B$15/100,4,5)))))</f>
      </c>
      <c r="Q18" s="17">
        <f>IF($A18="","",J18)</f>
      </c>
      <c r="R18" s="19">
        <f>IF($A18="","",ROUND(K18+L18+M18+N18+P18+Q18,0))</f>
      </c>
      <c r="S18" s="17">
        <f>IF($A18="","",IF(R18&gt;='Score model'!$B$20,"Immediate",IF(R18&gt;='Score model'!$B$19,"Needs replacement",IF(R18&gt;='Score model'!$B$18,"Qualifies","Below threshold"))))</f>
      </c>
      <c r="T18" s="17">
        <f>IF($A18="","",RANK(R18,Units!$R$5:$R$204))</f>
      </c>
      <c r="U18" s="20"/>
      <c r="V18" s="12"/>
      <c r="W18" s="17">
        <f>IF($A18="","",IF(V18="","",R18-V18))</f>
      </c>
    </row>
    <row r="19" spans="1:23" x14ac:dyDescent="0.25">
      <c r="A19" s="12" t="s">
        <v>118</v>
      </c>
      <c r="B19" s="12" t="s">
        <v>119</v>
      </c>
      <c r="C19" s="12" t="s">
        <v>29</v>
      </c>
      <c r="D19" s="12">
        <v>2024</v>
      </c>
      <c r="E19" s="16">
        <v>700</v>
      </c>
      <c r="F19" s="16">
        <v>96000</v>
      </c>
      <c r="G19" s="16">
        <v>2600</v>
      </c>
      <c r="H19" s="12">
        <v>3</v>
      </c>
      <c r="I19" s="12">
        <v>0</v>
      </c>
      <c r="J19" s="12">
        <v>1</v>
      </c>
      <c r="K19" s="17">
        <f>IF($A19="","",MIN('Score model'!$B$5,MAX(0,$B$2-D19)*'Score model'!$B$4))</f>
      </c>
      <c r="L19" s="17">
        <f>IF($A19="","",MIN('Score model'!$B$9,ROUND(IFERROR(E19/INDEX('Score model'!$B$6:$B$8,MATCH(C19,'Score model'!$A$6:$A$8,0)),0),0)))</f>
      </c>
      <c r="M19" s="17">
        <f>IF($A19="","",H19)</f>
      </c>
      <c r="N19" s="17">
        <f>IF($A19="","",IF(I19&lt;='Score model'!$B$23,1,IF(I19&lt;='Score model'!$B$24,2,IF(I19&lt;='Score model'!$B$25,3,IF(I19&lt;='Score model'!$B$26,4,5)))))</f>
      </c>
      <c r="O19" s="18">
        <f>IF($A19="","",IFERROR(G19/F19,0))</f>
      </c>
      <c r="P19" s="17">
        <f>IF($A19="","",IF(O19&lt;'Score model'!$B$12/100,1,IF(O19&lt;'Score model'!$B$13/100,2,IF(O19&lt;'Score model'!$B$14/100,3,IF(O19&lt;'Score model'!$B$15/100,4,5)))))</f>
      </c>
      <c r="Q19" s="17">
        <f>IF($A19="","",J19)</f>
      </c>
      <c r="R19" s="19">
        <f>IF($A19="","",ROUND(K19+L19+M19+N19+P19+Q19,0))</f>
      </c>
      <c r="S19" s="17">
        <f>IF($A19="","",IF(R19&gt;='Score model'!$B$20,"Immediate",IF(R19&gt;='Score model'!$B$19,"Needs replacement",IF(R19&gt;='Score model'!$B$18,"Qualifies","Below threshold"))))</f>
      </c>
      <c r="T19" s="17">
        <f>IF($A19="","",RANK(R19,Units!$R$5:$R$204))</f>
      </c>
      <c r="U19" s="20"/>
      <c r="V19" s="12"/>
      <c r="W19" s="17">
        <f>IF($A19="","",IF(V19="","",R19-V19))</f>
      </c>
    </row>
    <row r="20" spans="1:23" x14ac:dyDescent="0.25">
      <c r="A20" s="12" t="s">
        <v>120</v>
      </c>
      <c r="B20" s="12" t="s">
        <v>121</v>
      </c>
      <c r="C20" s="12" t="s">
        <v>29</v>
      </c>
      <c r="D20" s="12">
        <v>2018</v>
      </c>
      <c r="E20" s="16">
        <v>2900</v>
      </c>
      <c r="F20" s="16">
        <v>42000</v>
      </c>
      <c r="G20" s="16">
        <v>17500</v>
      </c>
      <c r="H20" s="12">
        <v>3</v>
      </c>
      <c r="I20" s="12">
        <v>3</v>
      </c>
      <c r="J20" s="12">
        <v>3</v>
      </c>
      <c r="K20" s="17">
        <f>IF($A20="","",MIN('Score model'!$B$5,MAX(0,$B$2-D20)*'Score model'!$B$4))</f>
      </c>
      <c r="L20" s="17">
        <f>IF($A20="","",MIN('Score model'!$B$9,ROUND(IFERROR(E20/INDEX('Score model'!$B$6:$B$8,MATCH(C20,'Score model'!$A$6:$A$8,0)),0),0)))</f>
      </c>
      <c r="M20" s="17">
        <f>IF($A20="","",H20)</f>
      </c>
      <c r="N20" s="17">
        <f>IF($A20="","",IF(I20&lt;='Score model'!$B$23,1,IF(I20&lt;='Score model'!$B$24,2,IF(I20&lt;='Score model'!$B$25,3,IF(I20&lt;='Score model'!$B$26,4,5)))))</f>
      </c>
      <c r="O20" s="18">
        <f>IF($A20="","",IFERROR(G20/F20,0))</f>
      </c>
      <c r="P20" s="17">
        <f>IF($A20="","",IF(O20&lt;'Score model'!$B$12/100,1,IF(O20&lt;'Score model'!$B$13/100,2,IF(O20&lt;'Score model'!$B$14/100,3,IF(O20&lt;'Score model'!$B$15/100,4,5)))))</f>
      </c>
      <c r="Q20" s="17">
        <f>IF($A20="","",J20)</f>
      </c>
      <c r="R20" s="19">
        <f>IF($A20="","",ROUND(K20+L20+M20+N20+P20+Q20,0))</f>
      </c>
      <c r="S20" s="17">
        <f>IF($A20="","",IF(R20&gt;='Score model'!$B$20,"Immediate",IF(R20&gt;='Score model'!$B$19,"Needs replacement",IF(R20&gt;='Score model'!$B$18,"Qualifies","Below threshold"))))</f>
      </c>
      <c r="T20" s="17">
        <f>IF($A20="","",RANK(R20,Units!$R$5:$R$204))</f>
      </c>
      <c r="U20" s="20"/>
      <c r="V20" s="12"/>
      <c r="W20" s="17">
        <f>IF($A20="","",IF(V20="","",R20-V20))</f>
      </c>
    </row>
    <row r="22" spans="1:10" x14ac:dyDescent="0.25">
      <c r="A22" s="14" t="s">
        <v>122</v>
      </c>
      <c r="B22" s="14"/>
      <c r="C22" s="14"/>
      <c r="D22" s="14"/>
      <c r="E22" s="14"/>
      <c r="F22" s="14"/>
      <c r="G22" s="14"/>
      <c r="H22" s="14"/>
      <c r="I22" s="14"/>
      <c r="J22" s="14"/>
    </row>
  </sheetData>
  <mergeCells count="4">
    <mergeCell ref="A1:C1"/>
    <mergeCell ref="D1:F1"/>
    <mergeCell ref="A3:W3"/>
    <mergeCell ref="A22:J22"/>
  </mergeCells>
  <dataValidations count="6">
    <dataValidation type="list" allowBlank="1" sqref="C10:C20">
      <formula1>"Light duty,Severe-heavy,Equipment"</formula1>
    </dataValidation>
    <dataValidation type="list" allowBlank="1" sqref="C5:C20">
      <formula1>"Light duty,Severe-heavy,Equipment"</formula1>
    </dataValidation>
    <dataValidation type="list" allowBlank="1" sqref="H10:H20">
      <formula1>"1,2,3,4,5"</formula1>
    </dataValidation>
    <dataValidation type="list" allowBlank="1" sqref="H5:H20">
      <formula1>"1,2,3,4,5"</formula1>
    </dataValidation>
    <dataValidation type="list" allowBlank="1" sqref="J10:J20">
      <formula1>"1,2,3,4,5"</formula1>
    </dataValidation>
    <dataValidation type="list" allowBlank="1" sqref="J5:J20">
      <formula1>"1,2,3,4,5"</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FormatPr defaultRowHeight="15" outlineLevelRow="0" outlineLevelCol="0" x14ac:dyDescent="55"/>
  <cols>
    <col min="1" max="1" width="8" customWidth="1"/>
    <col min="2" max="2" width="12" customWidth="1"/>
    <col min="3" max="3" width="38" customWidth="1"/>
    <col min="4" max="4" width="14" customWidth="1"/>
    <col min="5" max="5" width="10" customWidth="1"/>
    <col min="6" max="6" width="19" customWidth="1"/>
    <col min="7" max="8" width="11" customWidth="1"/>
    <col min="9" max="9" width="40" customWidth="1"/>
  </cols>
  <sheetData>
    <row r="1" spans="1:1" x14ac:dyDescent="0.25">
      <c r="A1" s="21" t="s">
        <v>123</v>
      </c>
    </row>
    <row r="2" spans="1:9" x14ac:dyDescent="0.25">
      <c r="A2" s="14" t="s">
        <v>124</v>
      </c>
      <c r="B2" s="14"/>
      <c r="C2" s="14"/>
      <c r="D2" s="14"/>
      <c r="E2" s="14"/>
      <c r="F2" s="14"/>
      <c r="G2" s="14"/>
      <c r="H2" s="14"/>
      <c r="I2" s="14"/>
    </row>
    <row r="3" ht="30" customHeight="1" spans="1:9" x14ac:dyDescent="0.25">
      <c r="A3" s="10" t="s">
        <v>125</v>
      </c>
      <c r="B3" s="10" t="s">
        <v>64</v>
      </c>
      <c r="C3" s="10" t="s">
        <v>65</v>
      </c>
      <c r="D3" s="10" t="s">
        <v>126</v>
      </c>
      <c r="E3" s="10" t="s">
        <v>127</v>
      </c>
      <c r="F3" s="10" t="s">
        <v>82</v>
      </c>
      <c r="G3" s="10" t="s">
        <v>85</v>
      </c>
      <c r="H3" s="10" t="s">
        <v>128</v>
      </c>
      <c r="I3" s="10" t="s">
        <v>129</v>
      </c>
    </row>
    <row r="4" spans="1:9" x14ac:dyDescent="0.25">
      <c r="A4" s="11">
        <v>1</v>
      </c>
      <c r="B4" s="12" t="s">
        <v>102</v>
      </c>
      <c r="C4" s="22">
        <f>IFERROR(INDEX(Units!$B$5:$B$204,MATCH($B4,Units!$A$5:$A$204,0)),"")</f>
      </c>
      <c r="D4" s="22">
        <f>IFERROR(INDEX(Units!$C$5:$C$204,MATCH($B4,Units!$A$5:$A$204,0)),"")</f>
      </c>
      <c r="E4" s="23">
        <f>IFERROR(INDEX(Units!$R$5:$R$204,MATCH($B4,Units!$A$5:$A$204,0)),"")</f>
      </c>
      <c r="F4" s="22">
        <f>IFERROR(INDEX(Units!$S$5:$S$204,MATCH($B4,Units!$A$5:$A$204,0)),"")</f>
      </c>
      <c r="G4" s="22">
        <f>IFERROR(INDEX(Units!$V$5:$V$204,MATCH($B4,Units!$A$5:$A$204,0)),"")</f>
      </c>
      <c r="H4" s="22">
        <f>IFERROR(INDEX(Units!$W$5:$W$204,MATCH($B4,Units!$A$5:$A$204,0)),"")</f>
      </c>
      <c r="I4" s="24">
        <f>IFERROR(INDEX(Units!$U$5:$U$204,MATCH($B4,Units!$A$5:$A$204,0)),"")</f>
      </c>
    </row>
    <row r="5" spans="1:9" x14ac:dyDescent="0.25">
      <c r="A5" s="11">
        <v>2</v>
      </c>
      <c r="B5" s="12" t="s">
        <v>94</v>
      </c>
      <c r="C5" s="22">
        <f>IFERROR(INDEX(Units!$B$5:$B$204,MATCH($B5,Units!$A$5:$A$204,0)),"")</f>
      </c>
      <c r="D5" s="22">
        <f>IFERROR(INDEX(Units!$C$5:$C$204,MATCH($B5,Units!$A$5:$A$204,0)),"")</f>
      </c>
      <c r="E5" s="23">
        <f>IFERROR(INDEX(Units!$R$5:$R$204,MATCH($B5,Units!$A$5:$A$204,0)),"")</f>
      </c>
      <c r="F5" s="22">
        <f>IFERROR(INDEX(Units!$S$5:$S$204,MATCH($B5,Units!$A$5:$A$204,0)),"")</f>
      </c>
      <c r="G5" s="22">
        <f>IFERROR(INDEX(Units!$V$5:$V$204,MATCH($B5,Units!$A$5:$A$204,0)),"")</f>
      </c>
      <c r="H5" s="22">
        <f>IFERROR(INDEX(Units!$W$5:$W$204,MATCH($B5,Units!$A$5:$A$204,0)),"")</f>
      </c>
      <c r="I5" s="24">
        <f>IFERROR(INDEX(Units!$U$5:$U$204,MATCH($B5,Units!$A$5:$A$204,0)),"")</f>
      </c>
    </row>
    <row r="6" spans="1:9" x14ac:dyDescent="0.25">
      <c r="A6" s="11">
        <v>3</v>
      </c>
      <c r="B6" s="12" t="s">
        <v>107</v>
      </c>
      <c r="C6" s="22">
        <f>IFERROR(INDEX(Units!$B$5:$B$204,MATCH($B6,Units!$A$5:$A$204,0)),"")</f>
      </c>
      <c r="D6" s="22">
        <f>IFERROR(INDEX(Units!$C$5:$C$204,MATCH($B6,Units!$A$5:$A$204,0)),"")</f>
      </c>
      <c r="E6" s="23">
        <f>IFERROR(INDEX(Units!$R$5:$R$204,MATCH($B6,Units!$A$5:$A$204,0)),"")</f>
      </c>
      <c r="F6" s="22">
        <f>IFERROR(INDEX(Units!$S$5:$S$204,MATCH($B6,Units!$A$5:$A$204,0)),"")</f>
      </c>
      <c r="G6" s="22">
        <f>IFERROR(INDEX(Units!$V$5:$V$204,MATCH($B6,Units!$A$5:$A$204,0)),"")</f>
      </c>
      <c r="H6" s="22">
        <f>IFERROR(INDEX(Units!$W$5:$W$204,MATCH($B6,Units!$A$5:$A$204,0)),"")</f>
      </c>
      <c r="I6" s="24">
        <f>IFERROR(INDEX(Units!$U$5:$U$204,MATCH($B6,Units!$A$5:$A$204,0)),"")</f>
      </c>
    </row>
    <row r="7" spans="1:9" x14ac:dyDescent="0.25">
      <c r="A7" s="25" t="s">
        <v>130</v>
      </c>
      <c r="B7" s="25"/>
      <c r="C7" s="25"/>
      <c r="D7" s="25"/>
      <c r="E7" s="25"/>
      <c r="F7" s="25"/>
      <c r="G7" s="25"/>
      <c r="H7" s="25"/>
      <c r="I7" s="25"/>
    </row>
    <row r="8" spans="1:9" x14ac:dyDescent="0.25">
      <c r="A8" s="11">
        <v>4</v>
      </c>
      <c r="B8" s="12" t="s">
        <v>91</v>
      </c>
      <c r="C8" s="22">
        <f>IFERROR(INDEX(Units!$B$5:$B$204,MATCH($B8,Units!$A$5:$A$204,0)),"")</f>
      </c>
      <c r="D8" s="22">
        <f>IFERROR(INDEX(Units!$C$5:$C$204,MATCH($B8,Units!$A$5:$A$204,0)),"")</f>
      </c>
      <c r="E8" s="23">
        <f>IFERROR(INDEX(Units!$R$5:$R$204,MATCH($B8,Units!$A$5:$A$204,0)),"")</f>
      </c>
      <c r="F8" s="22">
        <f>IFERROR(INDEX(Units!$S$5:$S$204,MATCH($B8,Units!$A$5:$A$204,0)),"")</f>
      </c>
      <c r="G8" s="22">
        <f>IFERROR(INDEX(Units!$V$5:$V$204,MATCH($B8,Units!$A$5:$A$204,0)),"")</f>
      </c>
      <c r="H8" s="22">
        <f>IFERROR(INDEX(Units!$W$5:$W$204,MATCH($B8,Units!$A$5:$A$204,0)),"")</f>
      </c>
      <c r="I8" s="24">
        <f>IFERROR(INDEX(Units!$U$5:$U$204,MATCH($B8,Units!$A$5:$A$204,0)),"")</f>
      </c>
    </row>
    <row r="9" spans="1:9" x14ac:dyDescent="0.25">
      <c r="A9" s="11">
        <v>5</v>
      </c>
      <c r="B9" s="12" t="s">
        <v>100</v>
      </c>
      <c r="C9" s="22">
        <f>IFERROR(INDEX(Units!$B$5:$B$204,MATCH($B9,Units!$A$5:$A$204,0)),"")</f>
      </c>
      <c r="D9" s="22">
        <f>IFERROR(INDEX(Units!$C$5:$C$204,MATCH($B9,Units!$A$5:$A$204,0)),"")</f>
      </c>
      <c r="E9" s="23">
        <f>IFERROR(INDEX(Units!$R$5:$R$204,MATCH($B9,Units!$A$5:$A$204,0)),"")</f>
      </c>
      <c r="F9" s="22">
        <f>IFERROR(INDEX(Units!$S$5:$S$204,MATCH($B9,Units!$A$5:$A$204,0)),"")</f>
      </c>
      <c r="G9" s="22">
        <f>IFERROR(INDEX(Units!$V$5:$V$204,MATCH($B9,Units!$A$5:$A$204,0)),"")</f>
      </c>
      <c r="H9" s="22">
        <f>IFERROR(INDEX(Units!$W$5:$W$204,MATCH($B9,Units!$A$5:$A$204,0)),"")</f>
      </c>
      <c r="I9" s="24">
        <f>IFERROR(INDEX(Units!$U$5:$U$204,MATCH($B9,Units!$A$5:$A$204,0)),"")</f>
      </c>
    </row>
    <row r="10" spans="1:9" x14ac:dyDescent="0.25">
      <c r="A10" s="11">
        <v>6</v>
      </c>
      <c r="B10" s="12" t="s">
        <v>98</v>
      </c>
      <c r="C10" s="22">
        <f>IFERROR(INDEX(Units!$B$5:$B$204,MATCH($B10,Units!$A$5:$A$204,0)),"")</f>
      </c>
      <c r="D10" s="22">
        <f>IFERROR(INDEX(Units!$C$5:$C$204,MATCH($B10,Units!$A$5:$A$204,0)),"")</f>
      </c>
      <c r="E10" s="23">
        <f>IFERROR(INDEX(Units!$R$5:$R$204,MATCH($B10,Units!$A$5:$A$204,0)),"")</f>
      </c>
      <c r="F10" s="22">
        <f>IFERROR(INDEX(Units!$S$5:$S$204,MATCH($B10,Units!$A$5:$A$204,0)),"")</f>
      </c>
      <c r="G10" s="22">
        <f>IFERROR(INDEX(Units!$V$5:$V$204,MATCH($B10,Units!$A$5:$A$204,0)),"")</f>
      </c>
      <c r="H10" s="22">
        <f>IFERROR(INDEX(Units!$W$5:$W$204,MATCH($B10,Units!$A$5:$A$204,0)),"")</f>
      </c>
      <c r="I10" s="24">
        <f>IFERROR(INDEX(Units!$U$5:$U$204,MATCH($B10,Units!$A$5:$A$204,0)),"")</f>
      </c>
    </row>
    <row r="11" spans="1:9" x14ac:dyDescent="0.25">
      <c r="A11" s="11">
        <v>7</v>
      </c>
      <c r="B11" s="12" t="s">
        <v>113</v>
      </c>
      <c r="C11" s="22">
        <f>IFERROR(INDEX(Units!$B$5:$B$204,MATCH($B11,Units!$A$5:$A$204,0)),"")</f>
      </c>
      <c r="D11" s="22">
        <f>IFERROR(INDEX(Units!$C$5:$C$204,MATCH($B11,Units!$A$5:$A$204,0)),"")</f>
      </c>
      <c r="E11" s="23">
        <f>IFERROR(INDEX(Units!$R$5:$R$204,MATCH($B11,Units!$A$5:$A$204,0)),"")</f>
      </c>
      <c r="F11" s="22">
        <f>IFERROR(INDEX(Units!$S$5:$S$204,MATCH($B11,Units!$A$5:$A$204,0)),"")</f>
      </c>
      <c r="G11" s="22">
        <f>IFERROR(INDEX(Units!$V$5:$V$204,MATCH($B11,Units!$A$5:$A$204,0)),"")</f>
      </c>
      <c r="H11" s="22">
        <f>IFERROR(INDEX(Units!$W$5:$W$204,MATCH($B11,Units!$A$5:$A$204,0)),"")</f>
      </c>
      <c r="I11" s="24">
        <f>IFERROR(INDEX(Units!$U$5:$U$204,MATCH($B11,Units!$A$5:$A$204,0)),"")</f>
      </c>
    </row>
    <row r="12" spans="1:9" x14ac:dyDescent="0.25">
      <c r="A12" s="11">
        <v>8</v>
      </c>
      <c r="B12" s="12" t="s">
        <v>109</v>
      </c>
      <c r="C12" s="22">
        <f>IFERROR(INDEX(Units!$B$5:$B$204,MATCH($B12,Units!$A$5:$A$204,0)),"")</f>
      </c>
      <c r="D12" s="22">
        <f>IFERROR(INDEX(Units!$C$5:$C$204,MATCH($B12,Units!$A$5:$A$204,0)),"")</f>
      </c>
      <c r="E12" s="23">
        <f>IFERROR(INDEX(Units!$R$5:$R$204,MATCH($B12,Units!$A$5:$A$204,0)),"")</f>
      </c>
      <c r="F12" s="22">
        <f>IFERROR(INDEX(Units!$S$5:$S$204,MATCH($B12,Units!$A$5:$A$204,0)),"")</f>
      </c>
      <c r="G12" s="22">
        <f>IFERROR(INDEX(Units!$V$5:$V$204,MATCH($B12,Units!$A$5:$A$204,0)),"")</f>
      </c>
      <c r="H12" s="22">
        <f>IFERROR(INDEX(Units!$W$5:$W$204,MATCH($B12,Units!$A$5:$A$204,0)),"")</f>
      </c>
      <c r="I12" s="24">
        <f>IFERROR(INDEX(Units!$U$5:$U$204,MATCH($B12,Units!$A$5:$A$204,0)),"")</f>
      </c>
    </row>
    <row r="13" spans="1:9" x14ac:dyDescent="0.25">
      <c r="A13" s="11">
        <v>9</v>
      </c>
      <c r="B13" s="12" t="s">
        <v>120</v>
      </c>
      <c r="C13" s="22">
        <f>IFERROR(INDEX(Units!$B$5:$B$204,MATCH($B13,Units!$A$5:$A$204,0)),"")</f>
      </c>
      <c r="D13" s="22">
        <f>IFERROR(INDEX(Units!$C$5:$C$204,MATCH($B13,Units!$A$5:$A$204,0)),"")</f>
      </c>
      <c r="E13" s="23">
        <f>IFERROR(INDEX(Units!$R$5:$R$204,MATCH($B13,Units!$A$5:$A$204,0)),"")</f>
      </c>
      <c r="F13" s="22">
        <f>IFERROR(INDEX(Units!$S$5:$S$204,MATCH($B13,Units!$A$5:$A$204,0)),"")</f>
      </c>
      <c r="G13" s="22">
        <f>IFERROR(INDEX(Units!$V$5:$V$204,MATCH($B13,Units!$A$5:$A$204,0)),"")</f>
      </c>
      <c r="H13" s="22">
        <f>IFERROR(INDEX(Units!$W$5:$W$204,MATCH($B13,Units!$A$5:$A$204,0)),"")</f>
      </c>
      <c r="I13" s="24">
        <f>IFERROR(INDEX(Units!$U$5:$U$204,MATCH($B13,Units!$A$5:$A$204,0)),"")</f>
      </c>
    </row>
    <row r="14" spans="1:9" x14ac:dyDescent="0.25">
      <c r="A14" s="11">
        <v>10</v>
      </c>
      <c r="B14" s="12" t="s">
        <v>105</v>
      </c>
      <c r="C14" s="22">
        <f>IFERROR(INDEX(Units!$B$5:$B$204,MATCH($B14,Units!$A$5:$A$204,0)),"")</f>
      </c>
      <c r="D14" s="22">
        <f>IFERROR(INDEX(Units!$C$5:$C$204,MATCH($B14,Units!$A$5:$A$204,0)),"")</f>
      </c>
      <c r="E14" s="23">
        <f>IFERROR(INDEX(Units!$R$5:$R$204,MATCH($B14,Units!$A$5:$A$204,0)),"")</f>
      </c>
      <c r="F14" s="22">
        <f>IFERROR(INDEX(Units!$S$5:$S$204,MATCH($B14,Units!$A$5:$A$204,0)),"")</f>
      </c>
      <c r="G14" s="22">
        <f>IFERROR(INDEX(Units!$V$5:$V$204,MATCH($B14,Units!$A$5:$A$204,0)),"")</f>
      </c>
      <c r="H14" s="22">
        <f>IFERROR(INDEX(Units!$W$5:$W$204,MATCH($B14,Units!$A$5:$A$204,0)),"")</f>
      </c>
      <c r="I14" s="24">
        <f>IFERROR(INDEX(Units!$U$5:$U$204,MATCH($B14,Units!$A$5:$A$204,0)),"")</f>
      </c>
    </row>
    <row r="15" spans="1:9" x14ac:dyDescent="0.25">
      <c r="A15" s="11">
        <v>11</v>
      </c>
      <c r="B15" s="12" t="s">
        <v>89</v>
      </c>
      <c r="C15" s="22">
        <f>IFERROR(INDEX(Units!$B$5:$B$204,MATCH($B15,Units!$A$5:$A$204,0)),"")</f>
      </c>
      <c r="D15" s="22">
        <f>IFERROR(INDEX(Units!$C$5:$C$204,MATCH($B15,Units!$A$5:$A$204,0)),"")</f>
      </c>
      <c r="E15" s="23">
        <f>IFERROR(INDEX(Units!$R$5:$R$204,MATCH($B15,Units!$A$5:$A$204,0)),"")</f>
      </c>
      <c r="F15" s="22">
        <f>IFERROR(INDEX(Units!$S$5:$S$204,MATCH($B15,Units!$A$5:$A$204,0)),"")</f>
      </c>
      <c r="G15" s="22">
        <f>IFERROR(INDEX(Units!$V$5:$V$204,MATCH($B15,Units!$A$5:$A$204,0)),"")</f>
      </c>
      <c r="H15" s="22">
        <f>IFERROR(INDEX(Units!$W$5:$W$204,MATCH($B15,Units!$A$5:$A$204,0)),"")</f>
      </c>
      <c r="I15" s="24">
        <f>IFERROR(INDEX(Units!$U$5:$U$204,MATCH($B15,Units!$A$5:$A$204,0)),"")</f>
      </c>
    </row>
    <row r="16" spans="1:9" x14ac:dyDescent="0.25">
      <c r="A16" s="11">
        <v>12</v>
      </c>
      <c r="B16" s="12" t="s">
        <v>116</v>
      </c>
      <c r="C16" s="22">
        <f>IFERROR(INDEX(Units!$B$5:$B$204,MATCH($B16,Units!$A$5:$A$204,0)),"")</f>
      </c>
      <c r="D16" s="22">
        <f>IFERROR(INDEX(Units!$C$5:$C$204,MATCH($B16,Units!$A$5:$A$204,0)),"")</f>
      </c>
      <c r="E16" s="23">
        <f>IFERROR(INDEX(Units!$R$5:$R$204,MATCH($B16,Units!$A$5:$A$204,0)),"")</f>
      </c>
      <c r="F16" s="22">
        <f>IFERROR(INDEX(Units!$S$5:$S$204,MATCH($B16,Units!$A$5:$A$204,0)),"")</f>
      </c>
      <c r="G16" s="22">
        <f>IFERROR(INDEX(Units!$V$5:$V$204,MATCH($B16,Units!$A$5:$A$204,0)),"")</f>
      </c>
      <c r="H16" s="22">
        <f>IFERROR(INDEX(Units!$W$5:$W$204,MATCH($B16,Units!$A$5:$A$204,0)),"")</f>
      </c>
      <c r="I16" s="24">
        <f>IFERROR(INDEX(Units!$U$5:$U$204,MATCH($B16,Units!$A$5:$A$204,0)),"")</f>
      </c>
    </row>
    <row r="17" spans="1:9" x14ac:dyDescent="0.25">
      <c r="A17" s="11">
        <v>13</v>
      </c>
      <c r="B17" s="12" t="s">
        <v>96</v>
      </c>
      <c r="C17" s="22">
        <f>IFERROR(INDEX(Units!$B$5:$B$204,MATCH($B17,Units!$A$5:$A$204,0)),"")</f>
      </c>
      <c r="D17" s="22">
        <f>IFERROR(INDEX(Units!$C$5:$C$204,MATCH($B17,Units!$A$5:$A$204,0)),"")</f>
      </c>
      <c r="E17" s="23">
        <f>IFERROR(INDEX(Units!$R$5:$R$204,MATCH($B17,Units!$A$5:$A$204,0)),"")</f>
      </c>
      <c r="F17" s="22">
        <f>IFERROR(INDEX(Units!$S$5:$S$204,MATCH($B17,Units!$A$5:$A$204,0)),"")</f>
      </c>
      <c r="G17" s="22">
        <f>IFERROR(INDEX(Units!$V$5:$V$204,MATCH($B17,Units!$A$5:$A$204,0)),"")</f>
      </c>
      <c r="H17" s="22">
        <f>IFERROR(INDEX(Units!$W$5:$W$204,MATCH($B17,Units!$A$5:$A$204,0)),"")</f>
      </c>
      <c r="I17" s="24">
        <f>IFERROR(INDEX(Units!$U$5:$U$204,MATCH($B17,Units!$A$5:$A$204,0)),"")</f>
      </c>
    </row>
    <row r="18" spans="1:9" x14ac:dyDescent="0.25">
      <c r="A18" s="11">
        <v>14</v>
      </c>
      <c r="B18" s="12" t="s">
        <v>111</v>
      </c>
      <c r="C18" s="22">
        <f>IFERROR(INDEX(Units!$B$5:$B$204,MATCH($B18,Units!$A$5:$A$204,0)),"")</f>
      </c>
      <c r="D18" s="22">
        <f>IFERROR(INDEX(Units!$C$5:$C$204,MATCH($B18,Units!$A$5:$A$204,0)),"")</f>
      </c>
      <c r="E18" s="23">
        <f>IFERROR(INDEX(Units!$R$5:$R$204,MATCH($B18,Units!$A$5:$A$204,0)),"")</f>
      </c>
      <c r="F18" s="22">
        <f>IFERROR(INDEX(Units!$S$5:$S$204,MATCH($B18,Units!$A$5:$A$204,0)),"")</f>
      </c>
      <c r="G18" s="22">
        <f>IFERROR(INDEX(Units!$V$5:$V$204,MATCH($B18,Units!$A$5:$A$204,0)),"")</f>
      </c>
      <c r="H18" s="22">
        <f>IFERROR(INDEX(Units!$W$5:$W$204,MATCH($B18,Units!$A$5:$A$204,0)),"")</f>
      </c>
      <c r="I18" s="24">
        <f>IFERROR(INDEX(Units!$U$5:$U$204,MATCH($B18,Units!$A$5:$A$204,0)),"")</f>
      </c>
    </row>
    <row r="19" spans="1:9" x14ac:dyDescent="0.25">
      <c r="A19" s="11">
        <v>15</v>
      </c>
      <c r="B19" s="12" t="s">
        <v>87</v>
      </c>
      <c r="C19" s="22">
        <f>IFERROR(INDEX(Units!$B$5:$B$204,MATCH($B19,Units!$A$5:$A$204,0)),"")</f>
      </c>
      <c r="D19" s="22">
        <f>IFERROR(INDEX(Units!$C$5:$C$204,MATCH($B19,Units!$A$5:$A$204,0)),"")</f>
      </c>
      <c r="E19" s="23">
        <f>IFERROR(INDEX(Units!$R$5:$R$204,MATCH($B19,Units!$A$5:$A$204,0)),"")</f>
      </c>
      <c r="F19" s="22">
        <f>IFERROR(INDEX(Units!$S$5:$S$204,MATCH($B19,Units!$A$5:$A$204,0)),"")</f>
      </c>
      <c r="G19" s="22">
        <f>IFERROR(INDEX(Units!$V$5:$V$204,MATCH($B19,Units!$A$5:$A$204,0)),"")</f>
      </c>
      <c r="H19" s="22">
        <f>IFERROR(INDEX(Units!$W$5:$W$204,MATCH($B19,Units!$A$5:$A$204,0)),"")</f>
      </c>
      <c r="I19" s="24">
        <f>IFERROR(INDEX(Units!$U$5:$U$204,MATCH($B19,Units!$A$5:$A$204,0)),"")</f>
      </c>
    </row>
    <row r="20" spans="1:9" x14ac:dyDescent="0.25">
      <c r="A20" s="11">
        <v>16</v>
      </c>
      <c r="B20" s="12" t="s">
        <v>118</v>
      </c>
      <c r="C20" s="22">
        <f>IFERROR(INDEX(Units!$B$5:$B$204,MATCH($B20,Units!$A$5:$A$204,0)),"")</f>
      </c>
      <c r="D20" s="22">
        <f>IFERROR(INDEX(Units!$C$5:$C$204,MATCH($B20,Units!$A$5:$A$204,0)),"")</f>
      </c>
      <c r="E20" s="23">
        <f>IFERROR(INDEX(Units!$R$5:$R$204,MATCH($B20,Units!$A$5:$A$204,0)),"")</f>
      </c>
      <c r="F20" s="22">
        <f>IFERROR(INDEX(Units!$S$5:$S$204,MATCH($B20,Units!$A$5:$A$204,0)),"")</f>
      </c>
      <c r="G20" s="22">
        <f>IFERROR(INDEX(Units!$V$5:$V$204,MATCH($B20,Units!$A$5:$A$204,0)),"")</f>
      </c>
      <c r="H20" s="22">
        <f>IFERROR(INDEX(Units!$W$5:$W$204,MATCH($B20,Units!$A$5:$A$204,0)),"")</f>
      </c>
      <c r="I20" s="24">
        <f>IFERROR(INDEX(Units!$U$5:$U$204,MATCH($B20,Units!$A$5:$A$204,0)),"")</f>
      </c>
    </row>
    <row r="22" ht="26" customHeight="1" spans="1:9" x14ac:dyDescent="0.25">
      <c r="A22" s="26" t="s">
        <v>131</v>
      </c>
      <c r="B22" s="26"/>
      <c r="C22" s="26"/>
      <c r="D22" s="26"/>
      <c r="E22" s="26"/>
      <c r="F22" s="26"/>
      <c r="G22" s="26"/>
      <c r="H22" s="26"/>
      <c r="I22" s="26"/>
    </row>
  </sheetData>
  <mergeCells count="3">
    <mergeCell ref="A2:I2"/>
    <mergeCell ref="A7:I7"/>
    <mergeCell ref="A22:I22"/>
  </mergeCells>
  <pageMargins left="0.5" right="0.5" top="0.6" bottom="0.6" header="0.3" footer="0.3"/>
  <pageSetup orientation="landscape" horizontalDpi="4294967295" verticalDpi="4294967295" scale="100"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FormatPr defaultRowHeight="15" outlineLevelRow="0" outlineLevelCol="0" x14ac:dyDescent="55"/>
  <cols>
    <col min="1" max="1" width="52" customWidth="1"/>
    <col min="2" max="3" width="14" customWidth="1"/>
    <col min="4" max="4" width="16" customWidth="1"/>
  </cols>
  <sheetData>
    <row r="1" spans="1:6" x14ac:dyDescent="0.25">
      <c r="A1" s="3" t="s">
        <v>2</v>
      </c>
      <c r="B1" s="3"/>
      <c r="C1" s="3"/>
      <c r="D1" s="4" t="s">
        <v>3</v>
      </c>
      <c r="E1" s="4"/>
      <c r="F1" s="4"/>
    </row>
    <row r="2" spans="1:1" x14ac:dyDescent="0.25">
      <c r="A2" s="9" t="s">
        <v>132</v>
      </c>
    </row>
    <row r="3" ht="40" customHeight="1" spans="1:4" x14ac:dyDescent="0.25">
      <c r="A3" s="13" t="s">
        <v>133</v>
      </c>
      <c r="B3" s="13"/>
      <c r="C3" s="13"/>
      <c r="D3" s="13"/>
    </row>
    <row r="5" ht="30" customHeight="1" spans="1:3" x14ac:dyDescent="0.25">
      <c r="A5" s="10" t="s">
        <v>134</v>
      </c>
      <c r="B5" s="10" t="s">
        <v>135</v>
      </c>
      <c r="C5" s="10" t="s">
        <v>136</v>
      </c>
    </row>
    <row r="6" spans="1:3" x14ac:dyDescent="0.25">
      <c r="A6" s="11" t="s">
        <v>137</v>
      </c>
      <c r="B6" s="17">
        <f>COUNTIFS(Units!$R$5:$R$204,"&gt;=1",Units!$R$5:$R$204,"&lt;=7")</f>
      </c>
      <c r="C6" s="18">
        <f>IFERROR(B6/$B$24,0)</f>
      </c>
    </row>
    <row r="7" spans="1:3" x14ac:dyDescent="0.25">
      <c r="A7" s="11" t="s">
        <v>138</v>
      </c>
      <c r="B7" s="17">
        <f>COUNTIFS(Units!$R$5:$R$204,"&gt;=8",Units!$R$5:$R$204,"&lt;=9")</f>
      </c>
      <c r="C7" s="18">
        <f>IFERROR(B7/$B$24,0)</f>
      </c>
    </row>
    <row r="8" spans="1:3" x14ac:dyDescent="0.25">
      <c r="A8" s="11" t="s">
        <v>139</v>
      </c>
      <c r="B8" s="17">
        <f>COUNTIFS(Units!$R$5:$R$204,"&gt;=10",Units!$R$5:$R$204,"&lt;=11")</f>
      </c>
      <c r="C8" s="18">
        <f>IFERROR(B8/$B$24,0)</f>
      </c>
    </row>
    <row r="9" spans="1:3" x14ac:dyDescent="0.25">
      <c r="A9" s="11" t="s">
        <v>140</v>
      </c>
      <c r="B9" s="17">
        <f>COUNTIFS(Units!$R$5:$R$204,"&gt;=12",Units!$R$5:$R$204,"&lt;=13")</f>
      </c>
      <c r="C9" s="18">
        <f>IFERROR(B9/$B$24,0)</f>
      </c>
    </row>
    <row r="10" spans="1:3" x14ac:dyDescent="0.25">
      <c r="A10" s="11" t="s">
        <v>141</v>
      </c>
      <c r="B10" s="17">
        <f>COUNTIFS(Units!$R$5:$R$204,"&gt;=14",Units!$R$5:$R$204,"&lt;=15")</f>
      </c>
      <c r="C10" s="18">
        <f>IFERROR(B10/$B$24,0)</f>
      </c>
    </row>
    <row r="11" spans="1:3" x14ac:dyDescent="0.25">
      <c r="A11" s="11" t="s">
        <v>142</v>
      </c>
      <c r="B11" s="17">
        <f>COUNTIFS(Units!$R$5:$R$204,"&gt;=16",Units!$R$5:$R$204,"&lt;=17")</f>
      </c>
      <c r="C11" s="18">
        <f>IFERROR(B11/$B$24,0)</f>
      </c>
    </row>
    <row r="12" spans="1:3" x14ac:dyDescent="0.25">
      <c r="A12" s="11" t="s">
        <v>143</v>
      </c>
      <c r="B12" s="17">
        <f>COUNTIFS(Units!$R$5:$R$204,"&gt;=18",Units!$R$5:$R$204,"&lt;=19")</f>
      </c>
      <c r="C12" s="18">
        <f>IFERROR(B12/$B$24,0)</f>
      </c>
    </row>
    <row r="13" spans="1:3" x14ac:dyDescent="0.25">
      <c r="A13" s="11" t="s">
        <v>144</v>
      </c>
      <c r="B13" s="17">
        <f>COUNTIFS(Units!$R$5:$R$204,"&gt;=20",Units!$R$5:$R$204,"&lt;=21")</f>
      </c>
      <c r="C13" s="18">
        <f>IFERROR(B13/$B$24,0)</f>
      </c>
    </row>
    <row r="14" spans="1:3" x14ac:dyDescent="0.25">
      <c r="A14" s="11" t="s">
        <v>145</v>
      </c>
      <c r="B14" s="17">
        <f>COUNTIFS(Units!$R$5:$R$204,"&gt;=22",Units!$R$5:$R$204,"&lt;=23")</f>
      </c>
      <c r="C14" s="18">
        <f>IFERROR(B14/$B$24,0)</f>
      </c>
    </row>
    <row r="15" spans="1:3" x14ac:dyDescent="0.25">
      <c r="A15" s="11" t="s">
        <v>146</v>
      </c>
      <c r="B15" s="17">
        <f>COUNTIFS(Units!$R$5:$R$204,"&gt;=24",Units!$R$5:$R$204,"&lt;=25")</f>
      </c>
      <c r="C15" s="18">
        <f>IFERROR(B15/$B$24,0)</f>
      </c>
    </row>
    <row r="16" spans="1:3" x14ac:dyDescent="0.25">
      <c r="A16" s="11" t="s">
        <v>147</v>
      </c>
      <c r="B16" s="17">
        <f>COUNTIFS(Units!$R$5:$R$204,"&gt;=26",Units!$R$5:$R$204,"&lt;=27")</f>
      </c>
      <c r="C16" s="18">
        <f>IFERROR(B16/$B$24,0)</f>
      </c>
    </row>
    <row r="17" spans="1:3" x14ac:dyDescent="0.25">
      <c r="A17" s="11" t="s">
        <v>148</v>
      </c>
      <c r="B17" s="17">
        <f>COUNTIFS(Units!$R$5:$R$204,"&gt;=28",Units!$R$5:$R$204,"&lt;=29")</f>
      </c>
      <c r="C17" s="18">
        <f>IFERROR(B17/$B$24,0)</f>
      </c>
    </row>
    <row r="18" spans="1:3" x14ac:dyDescent="0.25">
      <c r="A18" s="11" t="s">
        <v>149</v>
      </c>
      <c r="B18" s="17">
        <f>COUNTIFS(Units!$R$5:$R$204,"&gt;=30",Units!$R$5:$R$204,"&lt;=31")</f>
      </c>
      <c r="C18" s="18">
        <f>IFERROR(B18/$B$24,0)</f>
      </c>
    </row>
    <row r="19" spans="1:3" x14ac:dyDescent="0.25">
      <c r="A19" s="11" t="s">
        <v>150</v>
      </c>
      <c r="B19" s="17">
        <f>COUNTIFS(Units!$R$5:$R$204,"&gt;=32",Units!$R$5:$R$204,"&lt;=33")</f>
      </c>
      <c r="C19" s="18">
        <f>IFERROR(B19/$B$24,0)</f>
      </c>
    </row>
    <row r="20" spans="1:3" x14ac:dyDescent="0.25">
      <c r="A20" s="11" t="s">
        <v>151</v>
      </c>
      <c r="B20" s="17">
        <f>COUNTIFS(Units!$R$5:$R$204,"&gt;=34",Units!$R$5:$R$204,"&lt;=35")</f>
      </c>
      <c r="C20" s="18">
        <f>IFERROR(B20/$B$24,0)</f>
      </c>
    </row>
    <row r="21" spans="1:3" x14ac:dyDescent="0.25">
      <c r="A21" s="11" t="s">
        <v>152</v>
      </c>
      <c r="B21" s="17">
        <f>COUNTIFS(Units!$R$5:$R$204,"&gt;=36",Units!$R$5:$R$204,"&lt;=37")</f>
      </c>
      <c r="C21" s="18">
        <f>IFERROR(B21/$B$24,0)</f>
      </c>
    </row>
    <row r="22" spans="1:3" x14ac:dyDescent="0.25">
      <c r="A22" s="11" t="s">
        <v>153</v>
      </c>
      <c r="B22" s="17">
        <f>COUNTIFS(Units!$R$5:$R$204,"&gt;=38")</f>
      </c>
      <c r="C22" s="18">
        <f>IFERROR(B22/$B$24,0)</f>
      </c>
    </row>
    <row r="24" spans="1:2" x14ac:dyDescent="0.25">
      <c r="A24" s="7" t="s">
        <v>154</v>
      </c>
      <c r="B24" s="17">
        <f>COUNTIFS(Units!$R$5:$R$204,"&gt;=1")</f>
      </c>
    </row>
    <row r="26" spans="1:1" x14ac:dyDescent="0.25">
      <c r="A26" s="27" t="s">
        <v>155</v>
      </c>
    </row>
    <row r="27" ht="30" customHeight="1" spans="1:4" x14ac:dyDescent="0.25">
      <c r="A27" s="10" t="s">
        <v>82</v>
      </c>
      <c r="B27" s="10" t="s">
        <v>156</v>
      </c>
      <c r="C27" s="10" t="s">
        <v>135</v>
      </c>
      <c r="D27" s="10" t="s">
        <v>136</v>
      </c>
    </row>
    <row r="28" spans="1:4" x14ac:dyDescent="0.25">
      <c r="A28" s="11" t="s">
        <v>157</v>
      </c>
      <c r="B28" s="17">
        <f>"Under "&amp;'Score model'!$B$18</f>
      </c>
      <c r="C28" s="17">
        <f>COUNTIFS(Units!$R$5:$R$204,"&gt;=1",Units!$R$5:$R$204,"&lt;"&amp;'Score model'!$B$18)</f>
      </c>
      <c r="D28" s="18">
        <f>IFERROR(C28/$B$24,0)</f>
      </c>
    </row>
    <row r="29" spans="1:4" x14ac:dyDescent="0.25">
      <c r="A29" s="11" t="s">
        <v>158</v>
      </c>
      <c r="B29" s="17">
        <f>'Score model'!$B$18&amp;" to "&amp;('Score model'!$B$19-1)</f>
      </c>
      <c r="C29" s="17">
        <f>COUNTIFS(Units!$R$5:$R$204,"&gt;="&amp;'Score model'!$B$18,Units!$R$5:$R$204,"&lt;"&amp;'Score model'!$B$19)</f>
      </c>
      <c r="D29" s="18">
        <f>IFERROR(C29/$B$24,0)</f>
      </c>
    </row>
    <row r="30" spans="1:4" x14ac:dyDescent="0.25">
      <c r="A30" s="11" t="s">
        <v>159</v>
      </c>
      <c r="B30" s="17">
        <f>'Score model'!$B$19&amp;" to "&amp;('Score model'!$B$20-1)</f>
      </c>
      <c r="C30" s="17">
        <f>COUNTIFS(Units!$R$5:$R$204,"&gt;="&amp;'Score model'!$B$19,Units!$R$5:$R$204,"&lt;"&amp;'Score model'!$B$20)</f>
      </c>
      <c r="D30" s="18">
        <f>IFERROR(C30/$B$24,0)</f>
      </c>
    </row>
    <row r="31" spans="1:4" x14ac:dyDescent="0.25">
      <c r="A31" s="11" t="s">
        <v>160</v>
      </c>
      <c r="B31" s="17">
        <f>'Score model'!$B$20&amp;" and above"</f>
      </c>
      <c r="C31" s="17">
        <f>COUNTIFS(Units!$R$5:$R$204,"&gt;="&amp;'Score model'!$B$20)</f>
      </c>
      <c r="D31" s="18">
        <f>IFERROR(C31/$B$24,0)</f>
      </c>
    </row>
    <row r="33" spans="1:1" x14ac:dyDescent="0.25">
      <c r="A33" s="27" t="s">
        <v>161</v>
      </c>
    </row>
    <row r="34" spans="1:2" x14ac:dyDescent="0.25">
      <c r="A34" s="11" t="s">
        <v>162</v>
      </c>
      <c r="B34" s="12">
        <v>3</v>
      </c>
    </row>
    <row r="35" spans="1:2" x14ac:dyDescent="0.25">
      <c r="A35" s="11" t="s">
        <v>163</v>
      </c>
      <c r="B35" s="17">
        <f>COUNTIFS(Units!$R$5:$R$204,"&gt;="&amp;'Score model'!$B$19)</f>
      </c>
    </row>
    <row r="36" spans="1:2" x14ac:dyDescent="0.25">
      <c r="A36" s="11" t="s">
        <v>164</v>
      </c>
      <c r="B36" s="17">
        <f>COUNTIFS(Units!$R$5:$R$204,"&gt;="&amp;'Score model'!$B$20)</f>
      </c>
    </row>
    <row r="37" spans="1:2" x14ac:dyDescent="0.25">
      <c r="A37" s="11" t="s">
        <v>165</v>
      </c>
      <c r="B37" s="17">
        <f>MAX(0,$B$35-$B$34)</f>
      </c>
    </row>
    <row r="38" ht="28" customHeight="1" spans="1:4" x14ac:dyDescent="0.25">
      <c r="A38" s="7" t="s">
        <v>166</v>
      </c>
      <c r="B38" s="28">
        <f>IF($B$24=0,"Score the fleet first.",IF($B$35&lt;=$B$34,"The thresholds fit the budget: the priority list is fundable this year.",IF($B$35&lt;=$B$34*2,"Close: the list runs about two budget years deep. Workable if the multi-year plan says so.","Too loose for this fleet: raise the thresholds, or plan a multi-year catch-up and say which in policy.")))</f>
      </c>
      <c r="C38" s="28"/>
      <c r="D38" s="28"/>
    </row>
    <row r="40" ht="28" customHeight="1" spans="1:4" x14ac:dyDescent="0.25">
      <c r="A40" s="13" t="s">
        <v>167</v>
      </c>
      <c r="B40" s="13"/>
      <c r="C40" s="13"/>
      <c r="D40" s="13"/>
    </row>
  </sheetData>
  <mergeCells count="5">
    <mergeCell ref="A1:C1"/>
    <mergeCell ref="D1:F1"/>
    <mergeCell ref="A3:D3"/>
    <mergeCell ref="B38:D38"/>
    <mergeCell ref="A40:D40"/>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FormatPr defaultRowHeight="15" outlineLevelRow="0" outlineLevelCol="0" x14ac:dyDescent="55"/>
  <cols>
    <col min="1" max="1" width="78" customWidth="1"/>
    <col min="2" max="2" width="12" customWidth="1"/>
  </cols>
  <sheetData>
    <row r="1" spans="1:1" x14ac:dyDescent="0.25">
      <c r="A1" s="27" t="s">
        <v>168</v>
      </c>
    </row>
    <row r="2" spans="1:1" x14ac:dyDescent="0.25">
      <c r="A2" s="29" t="s">
        <v>169</v>
      </c>
    </row>
    <row r="3" spans="1:1" x14ac:dyDescent="0.25">
      <c r="A3" s="29" t="s">
        <v>170</v>
      </c>
    </row>
    <row r="5" spans="1:1" x14ac:dyDescent="0.25">
      <c r="A5" s="27" t="s">
        <v>171</v>
      </c>
    </row>
    <row r="6" spans="1:1" x14ac:dyDescent="0.25">
      <c r="A6" s="30" t="s">
        <v>172</v>
      </c>
    </row>
    <row r="7" spans="1:2" x14ac:dyDescent="0.25">
      <c r="A7" s="31" t="s">
        <v>173</v>
      </c>
      <c r="B7" s="32" t="s">
        <v>174</v>
      </c>
    </row>
    <row r="8" spans="1:2" x14ac:dyDescent="0.25">
      <c r="A8" s="31" t="s">
        <v>175</v>
      </c>
      <c r="B8" s="32" t="s">
        <v>174</v>
      </c>
    </row>
    <row r="9" spans="1:1" x14ac:dyDescent="0.25">
      <c r="A9" s="31" t="s">
        <v>176</v>
      </c>
    </row>
    <row r="11" spans="1:1" x14ac:dyDescent="0.25">
      <c r="A11" s="27" t="s">
        <v>177</v>
      </c>
    </row>
    <row r="12" spans="1:1" x14ac:dyDescent="0.25">
      <c r="A12" s="30" t="s">
        <v>178</v>
      </c>
    </row>
    <row r="13" spans="1:2" x14ac:dyDescent="0.25">
      <c r="A13" s="11" t="s">
        <v>179</v>
      </c>
      <c r="B13" s="33" t="s">
        <v>180</v>
      </c>
    </row>
    <row r="14" spans="1:2" x14ac:dyDescent="0.25">
      <c r="A14" s="11" t="s">
        <v>181</v>
      </c>
      <c r="B14" s="33" t="s">
        <v>180</v>
      </c>
    </row>
    <row r="15" spans="1:2" x14ac:dyDescent="0.25">
      <c r="A15" s="11" t="s">
        <v>182</v>
      </c>
      <c r="B15" s="33" t="s">
        <v>180</v>
      </c>
    </row>
    <row r="16" spans="1:2" x14ac:dyDescent="0.25">
      <c r="A16" s="11" t="s">
        <v>183</v>
      </c>
      <c r="B16" s="33" t="s">
        <v>180</v>
      </c>
    </row>
    <row r="18" spans="1:1" x14ac:dyDescent="0.25">
      <c r="A18" s="27" t="s">
        <v>184</v>
      </c>
    </row>
    <row r="19" spans="1:1" x14ac:dyDescent="0.25">
      <c r="A19" s="29" t="s">
        <v>185</v>
      </c>
    </row>
    <row r="20" spans="1:1" x14ac:dyDescent="0.25">
      <c r="A20" s="29" t="s">
        <v>186</v>
      </c>
    </row>
    <row r="21" spans="1:1" x14ac:dyDescent="0.25">
      <c r="A21" s="29" t="s">
        <v>187</v>
      </c>
    </row>
  </sheetData>
  <hyperlinks>
    <hyperlink ref="A7" r:id="rId1"/>
    <hyperlink ref="A8" r:id="rId2"/>
    <hyperlink ref="A9" r:id="rId3"/>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How to use</vt:lpstr>
      <vt:lpstr>Score model</vt:lpstr>
      <vt:lpstr>Units</vt:lpstr>
      <vt:lpstr>Ranked list (print)</vt:lpstr>
      <vt:lpstr>Band test</vt:lpstr>
      <vt:lpstr>Sources &amp; method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Fleet Desk</dc:creator>
  <dc:title>Replacement scoring worksheet</dc:title>
  <dc:subject>Replacement scoring worksheet — version 1.0</dc:subject>
  <dc:description/>
  <cp:keywords>fleet management, template</cp:keywords>
  <cp:category/>
  <cp:lastModifiedBy>Fleet Desk</cp:lastModifiedBy>
  <dcterms:created xsi:type="dcterms:W3CDTF">2026-08-02T15:27:31Z</dcterms:created>
  <dcterms:modified xsi:type="dcterms:W3CDTF">2026-08-02T15:27:31Z</dcterms:modified>
</cp:coreProperties>
</file>