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2" name="Loaded rate" state="visible" r:id="rId5"/>
    <sheet sheetId="3" name="Overhead build" state="visible" r:id="rId6"/>
    <sheet sheetId="4" name="Break-even" state="visible" r:id="rId7"/>
    <sheet sheetId="5" name="Hybrid plan" state="visible" r:id="rId8"/>
    <sheet sheetId="6" name="Non-cost factors" state="visible" r:id="rId9"/>
    <sheet sheetId="7" name="Compliance note" state="visible" r:id="rId10"/>
    <sheet sheetId="8" name="Sources &amp; method" state="visible" r:id="rId11"/>
  </sheets>
  <definedNames>
    <definedName name="_xlnm.Print_Area" localSheetId="1">'Loaded rate'!$A1:$F44</definedName>
    <definedName name="_xlnm.Print_Area" localSheetId="2">'Overhead build'!$A1:$C27</definedName>
    <definedName name="_xlnm.Print_Area" localSheetId="3">'Break-even'!$A1:$N45</definedName>
    <definedName name="_xlnm.Print_Titles" localSheetId="3">'Break-even'!$18:$18</definedName>
    <definedName name="_xlnm.Print_Area" localSheetId="4">'Hybrid plan'!$A1:$F24</definedName>
    <definedName name="_xlnm.Print_Area" localSheetId="5">'Non-cost factors'!$A1:$H18</definedName>
    <definedName name="_xlnm.Print_Area" localSheetId="6">'Compliance note'!$A1:$A16</definedName>
  </definedNames>
  <calcPr calcId="171027"/>
</workbook>
</file>

<file path=xl/sharedStrings.xml><?xml version="1.0" encoding="utf-8"?>
<sst xmlns="http://schemas.openxmlformats.org/spreadsheetml/2006/main" count="304" uniqueCount="258">
  <si>
    <t>Shop rate &amp; break-even model</t>
  </si>
  <si>
    <t>Version 1.0 — 2026-07-29</t>
  </si>
  <si>
    <t>Input — change this</t>
  </si>
  <si>
    <t>Calculated — do not type here</t>
  </si>
  <si>
    <t>The comparison almost every fleet makes first is the vendor’s $150 hour against the technician’s $34 wage. This workbook runs the comparison the way it actually works: a fully loaded internal rate, against a vendor invoice, over the hours you can genuinely fill.</t>
  </si>
  <si>
    <t>Work the sheets in order. Overhead build feeds the Loaded rate sheet, Loaded rate feeds Break-even, and Break-even feeds Hybrid plan. Change a number once and it moves everywhere it should.</t>
  </si>
  <si>
    <t>Wage cost accrues on paid hours — 2,080 — because payroll pays for leave whether or not a wrench turns. The divisor is different: available hours after leave, holidays, sick and training, times the share of those hours that lands on a work order.</t>
  </si>
  <si>
    <t>The 1,760 available-hours figure is Chattanooga’s internal audit method: start at paid hours and deduct leave, holidays, sick and training. The method travels better than the number. Run your own actuals through it.</t>
  </si>
  <si>
    <t>Direct labour share is the one input you must not guess. 70–80% circulates in trade press as a target, not a measurement. Pull labour hours posted to work orders over twelve months and divide by available hours. If it comes back at 55%, that is the strongest capacity argument you will ever have.</t>
  </si>
  <si>
    <t>The sensitivity grid on the Loaded rate sheet holds everything else and moves only direct labour share and fringe load. Shaded cells are where your own shop costs more than the vendor rate you entered.</t>
  </si>
  <si>
    <t>Break-even has two questions in it. The crossover cell answers "at how many hours a year does the shop’s fixed overhead stop being carried". The staffing screen underneath answers "can we keep a technician busy at all", using vehicle equivalent units.</t>
  </si>
  <si>
    <t>Every category carries an "extra internal cost to do this in-house" column. Without it, in-house wins every row on labour alone — which is the same mistake as the wage-to-invoice comparison, pointing the other way.</t>
  </si>
  <si>
    <t>Hybrid plan is where the arithmetic gets honest. It computes the direct labour share your own decisions actually imply, and the loaded rate that follows from it. In the shipped example that is $125 an hour, not $102.</t>
  </si>
  <si>
    <t>Nothing is locked or password protected. Insert rows, add categories, change the assumptions. Denver’s 2024 audit found nearly $5 million of outsourcing across about 800 jobs with no documented criteria — the point of this file is to be the document that was missing.</t>
  </si>
  <si>
    <t>Change these three before the numbers mean anything:</t>
  </si>
  <si>
    <t>•  Loaded rate → Direct labour share of available hours (%): measured from work orders, not assumed. It moves the answer more than any other cell.</t>
  </si>
  <si>
    <t>•  Loaded rate → Fringe load (% of wages): use your finance office’s approved rate, and check the benchmark note under it for what that rate may exclude.</t>
  </si>
  <si>
    <t>•  Overhead build → every line, and the technician count: the per-technician figure it produces is the whole fixed half of your rate.</t>
  </si>
  <si>
    <t>Loaded shop rate — what one productive wrench hour actually costs</t>
  </si>
  <si>
    <t>The vendor’s invoice is a loaded rate. So this has to be one. A technician’s wage is not comparable to either.</t>
  </si>
  <si>
    <t>EXAMPLE DATA — replace before use. Delete this row once you have your own numbers.</t>
  </si>
  <si>
    <t>Step (units in the label)</t>
  </si>
  <si>
    <t>Value</t>
  </si>
  <si>
    <t>Where this number comes from</t>
  </si>
  <si>
    <t>Base wage ($/hr)</t>
  </si>
  <si>
    <t>Your own payroll. BLS OEWS May 2025 puts the local-government median for this occupation at $34.36/hr — see the benchmark block below.</t>
  </si>
  <si>
    <t>Fringe load (% of wages)</t>
  </si>
  <si>
    <t>Finance’s approved rate. Massachusetts’ HHS-approved FY2026 rate is 35.60% plus 2.21% payroll tax.</t>
  </si>
  <si>
    <t>Loaded wage ($/hr)</t>
  </si>
  <si>
    <t>Wage and benefits, before a single overhead dollar.</t>
  </si>
  <si>
    <t>Paid hours per technician (hours/yr)</t>
  </si>
  <si>
    <t>What payroll pays for. Leave is paid out of this, so cost accrues here — not on available hours.</t>
  </si>
  <si>
    <t>Available hours after leave, holidays, sick and training (hours/yr)</t>
  </si>
  <si>
    <t>Chattanooga’s audit method. Deduct your own actuals; the method travels better than the number.</t>
  </si>
  <si>
    <t>Direct labour share of available hours (%)</t>
  </si>
  <si>
    <t>Measured, not assumed: hours posted to work orders over 12 months ÷ available hours.</t>
  </si>
  <si>
    <t>Billable wrench hours (hours/yr)</t>
  </si>
  <si>
    <t>The divisor. Everything above it is cost; this is what you can sell.</t>
  </si>
  <si>
    <t>Wages and benefits per technician ($/yr)</t>
  </si>
  <si>
    <t>Shop overhead per technician ($/yr)</t>
  </si>
  <si>
    <t>Built line by line on the Overhead build sheet. Most fleets undercount it.</t>
  </si>
  <si>
    <t>Total cost per technician ($/yr)</t>
  </si>
  <si>
    <t>LOADED SHOP RATE ($/hr)</t>
  </si>
  <si>
    <t>This is the number that goes next to a vendor invoice.</t>
  </si>
  <si>
    <t>Of which wages and benefits ($/hr)</t>
  </si>
  <si>
    <t>The variable half — what one more hour of work costs. The Break-even sheet uses it.</t>
  </si>
  <si>
    <t>Of which shop overhead ($/hr)</t>
  </si>
  <si>
    <t>The fixed half. It is spread over billable hours, so it rises as wrench time falls.</t>
  </si>
  <si>
    <t>Billable hours as a share of paid hours (%)</t>
  </si>
  <si>
    <t>In the shipped example, 59% of what payroll buys reaches a work order.</t>
  </si>
  <si>
    <t>Vendor rate for comparison ($/hr)</t>
  </si>
  <si>
    <t>Springfield, MO’s published band implies a market rate near $163 light duty and $198 heavy duty — see Sources.</t>
  </si>
  <si>
    <t>Gap to vendor ($/hr)</t>
  </si>
  <si>
    <t>Gap to vendor (% of the vendor rate)</t>
  </si>
  <si>
    <t>Not the fourfold gap the wage comparison implies.</t>
  </si>
  <si>
    <t>Benchmark check — national figures, for orientation only</t>
  </si>
  <si>
    <t>BLS OEWS median hourly wage — bus and truck mechanics and diesel engine specialists, local government, May 2025 ($/hr)</t>
  </si>
  <si>
    <t>Reference figure from the model, not your data. Local-government 25th percentile $28.63, 75th $41.00.</t>
  </si>
  <si>
    <t>Your base wage against that median (%)</t>
  </si>
  <si>
    <t>BLS ECEC benefit load comparable to a fringe rate on paid hours — state and local government, March 2026 (% of wages)</t>
  </si>
  <si>
    <t>Reference figure from the model.</t>
  </si>
  <si>
    <t>Your fringe load less that benchmark (percentage points)</t>
  </si>
  <si>
    <t>ECEC states cost per hour worked and counts paid leave as a benefit. This sheet already pays for leave inside the wage line, so the ratio those published dollars give — benefits at 62.7% of wages for state and local government — would double-count it. Benefits less paid leave, over wages plus paid leave, is the comparable number: 45.4%. A published fringe rate below that is not wrong, but find out what it leaves out before you defend it: workers’ compensation, unemployment, OPEB and the employer share of some insurances are commonly outside the rate finance quotes you.</t>
  </si>
  <si>
    <t>Sensitivity — the divisor decides the answer</t>
  </si>
  <si>
    <t>Everything else held. Down the rows, the share of available hours that reaches a work order; across the columns, the fringe load. Shaded cells are where your own shop costs more per hour than the vendor rate in B20.</t>
  </si>
  <si>
    <t>Direct labour share (%) ↓ / fringe load (% of wages) →</t>
  </si>
  <si>
    <t>Read the row, not the cell. At 70% direct labour the shipped example is about $102 an hour against a $150 vendor — roughly a third cheaper. Hold everything and drop to 55% and the same shop is about $130, and the advantage falls to about 13%: inside the range that vendor turnaround or parts pricing can erase. That is the whole argument for measuring wrench time instead of assuming it.</t>
  </si>
  <si>
    <t>Overhead build — the fixed half of the rate, line by line</t>
  </si>
  <si>
    <t>Most fleets undercount this sheet, and an undercounted overhead makes in-house look cheaper than it is.</t>
  </si>
  <si>
    <t>Overhead line ($/yr as labelled)</t>
  </si>
  <si>
    <t>Annual cost ($/yr)</t>
  </si>
  <si>
    <t>What belongs here — and the omission to watch</t>
  </si>
  <si>
    <t>Facility — rent, lease or internal space charge</t>
  </si>
  <si>
    <t>If the building is "free" because the city owns it, charge it anyway. A vendor's rate includes their building.</t>
  </si>
  <si>
    <t>Utilities — power, heat, water, compressed air</t>
  </si>
  <si>
    <t>Tools, lifts and shop equipment — purchase, lease and repair</t>
  </si>
  <si>
    <t>Amortise the big items rather than expensing them into one year.</t>
  </si>
  <si>
    <t>Diagnostic subscriptions and OEM software licences</t>
  </si>
  <si>
    <t>Renew annually and once per make. This line is why a mixed fleet costs more to diagnose in-house.</t>
  </si>
  <si>
    <t>Shop supplies and consumables not charged to work orders</t>
  </si>
  <si>
    <t>Waste fluid, filter and tire disposal</t>
  </si>
  <si>
    <t>Uniforms and laundry</t>
  </si>
  <si>
    <t>Safety equipment, PPE and shop safety compliance</t>
  </si>
  <si>
    <t>Training and certification — fees, materials and travel</t>
  </si>
  <si>
    <t>The money only. The hours are already out of the 1,760.</t>
  </si>
  <si>
    <t>Supervision — shop supervisor share, no wrench time</t>
  </si>
  <si>
    <t>A first-line supervisor of mechanics has a local-government median wage of $38.98/hr (BLS OEWS, May 2025) and no billable hours.</t>
  </si>
  <si>
    <t>Parts room labour and inventory carrying cost</t>
  </si>
  <si>
    <t>Somebody orders, receives and chases parts. That is not wrench time either.</t>
  </si>
  <si>
    <t>Fleet software, telematics back office and work-order system</t>
  </si>
  <si>
    <t>(add your own lines here — the total below includes them)</t>
  </si>
  <si>
    <t/>
  </si>
  <si>
    <t>TOTAL SHOP OVERHEAD ($/yr)</t>
  </si>
  <si>
    <t>Everything the shop consumes that is not a technician’s wage and not a part billed to a unit.</t>
  </si>
  <si>
    <t>Technicians on strength (FTE count)</t>
  </si>
  <si>
    <t>Wrench-turning FTEs only. The supervisor is a cost line above, not a divisor.</t>
  </si>
  <si>
    <t>SHOP OVERHEAD PER TECHNICIAN ($/yr)</t>
  </si>
  <si>
    <t>Feeds the Loaded rate sheet. Nothing else on that sheet needs touching.</t>
  </si>
  <si>
    <t>Not on this sheet, deliberately: technician wages and benefits, which are on the Loaded rate sheet; parts at cost, which belong to the unit that consumed them; and vehicle capital, which belongs in cost per mile. Counting any of them here double-counts them.</t>
  </si>
  <si>
    <t>Training appears here as a dollar cost and again on the Loaded rate sheet as hours already deducted from the 1,760. That is not double counting — the money and the lost bay time are two different costs. Do not deduct the money a second time.</t>
  </si>
  <si>
    <t>Supervision is the line people leave out because it is somebody else’s budget code. A first-line supervisor of mechanics has a local-government median wage of $38.98/hr in BLS OEWS May 2025 — more per hour than the technician, and no wrench time at all.</t>
  </si>
  <si>
    <t>Break-even — where the crossover is, and whether you can keep a technician busy</t>
  </si>
  <si>
    <t>The crossover is not a fleet size. It is the number of billable hours a year at which your own fixed overhead stops being carried by the work you do.</t>
  </si>
  <si>
    <t>Assumption (units in the label)</t>
  </si>
  <si>
    <t>Internal loaded shop rate ($/hr)</t>
  </si>
  <si>
    <t>From the Loaded rate sheet. Change it there.</t>
  </si>
  <si>
    <t>Internal variable rate — wages and benefits per billable hour ($/hr)</t>
  </si>
  <si>
    <t>What one more hour costs once the shop already exists. The crossover uses this, not the loaded rate.</t>
  </si>
  <si>
    <t>Shop fixed overhead ($/yr)</t>
  </si>
  <si>
    <t>Internal parts markup (% on cost)</t>
  </si>
  <si>
    <t>A public shop usually charges itself parts at cost. Illustrative — set your own.</t>
  </si>
  <si>
    <t>Vendor parts markup (% on cost)</t>
  </si>
  <si>
    <t>Illustrative. No primary source publishes this; get it from your own invoices.</t>
  </si>
  <si>
    <t>Blended vendor labour rate, weighted by hours ($/hr)</t>
  </si>
  <si>
    <t>Weighted by the hours in the table below, so a cheap tire rate cannot flatter a heavy-line decision.</t>
  </si>
  <si>
    <t>BREAK-EVEN BILLABLE HOURS PER YEAR (hours/yr)</t>
  </si>
  <si>
    <t>Billable capacity at today’s staffing (hours/yr)</t>
  </si>
  <si>
    <t>Hours above / below the crossover (hours/yr)</t>
  </si>
  <si>
    <t>Negative means the shop is too small to carry its own overhead at these rates.</t>
  </si>
  <si>
    <t>Work categories</t>
  </si>
  <si>
    <t>Vendor rates: $163 light and $198 heavy are Springfield, Missouri’s published FY2023-24 actual internal rates over the percent of market the city publishes for each of them — 77.8% and 79.4%, both inside its 77.5–82.5% policy band. Diagnostics, body, tires and specialty are illustrative — replace them with quotes. Warranty and recall carry a vendor rate of zero because under 49 U.S.C. 30120(a) the manufacturer must remedy a safety defect without charge.</t>
  </si>
  <si>
    <t>Work category</t>
  </si>
  <si>
    <t>Annual labour hours (hours/yr)</t>
  </si>
  <si>
    <t>Parts at cost ($/yr)</t>
  </si>
  <si>
    <t>Vendor labour rate ($/hr)</t>
  </si>
  <si>
    <t>Extra internal cost to do this in-house ($/yr) — tooling, certification, training</t>
  </si>
  <si>
    <t>Internal labour ($/yr)</t>
  </si>
  <si>
    <t>Internal parts ($/yr)</t>
  </si>
  <si>
    <t>Vendor labour ($/yr)</t>
  </si>
  <si>
    <t>Vendor parts ($/yr)</t>
  </si>
  <si>
    <t>INTERNAL TOTAL ($/yr)</t>
  </si>
  <si>
    <t>VENDOR TOTAL ($/yr)</t>
  </si>
  <si>
    <t>Delta — vendor less internal ($/yr)</t>
  </si>
  <si>
    <t>Delta (% of internal total)</t>
  </si>
  <si>
    <t>Cost recommendation</t>
  </si>
  <si>
    <t>PM, inspection and service</t>
  </si>
  <si>
    <t>Brakes and chassis</t>
  </si>
  <si>
    <t>Diagnostics and electrical</t>
  </si>
  <si>
    <t>Heavy line — engine and transmission</t>
  </si>
  <si>
    <t>Body, paint and glass</t>
  </si>
  <si>
    <t>Tires</t>
  </si>
  <si>
    <t>Aerial and specialty certification</t>
  </si>
  <si>
    <t>Warranty and recall work</t>
  </si>
  <si>
    <t>TOTAL</t>
  </si>
  <si>
    <t>Staffing screen — vehicle equivalent units</t>
  </si>
  <si>
    <t>Before the crossover means anything, ask whether you can keep a technician busy at all. A passenger car is 1.0 VEU, a pickup 1.5, fire apparatus 10 — Chattanooga’s 2010 internal audit, whose own methodology credits the 120-VEU-per-mechanic benchmark to Matrix Consulting Group, Mercury Associates and Government Fleet magazine, with no sample disclosed anywhere in that chain. Know that before you quote it at a council. The other factors here are illustrative.</t>
  </si>
  <si>
    <t>Class</t>
  </si>
  <si>
    <t>Units (count)</t>
  </si>
  <si>
    <t>VEU factor (passenger car = 1.0)</t>
  </si>
  <si>
    <t>VEU total (VEU)</t>
  </si>
  <si>
    <t>Sedans and light cars</t>
  </si>
  <si>
    <t>Half-ton and three-quarter-ton pickups</t>
  </si>
  <si>
    <t>Medium dump, utility and aerial trucks</t>
  </si>
  <si>
    <t>Refuse packers</t>
  </si>
  <si>
    <t>Fire apparatus</t>
  </si>
  <si>
    <t>Trailers, mowers and small equipment</t>
  </si>
  <si>
    <t>TOTAL VEU</t>
  </si>
  <si>
    <t>VEU per technician (VEU/FTE)</t>
  </si>
  <si>
    <t>Benchmark VEU per technician (VEU/FTE) — Chattanooga audit, consultant-sourced</t>
  </si>
  <si>
    <t>Technicians implied by the benchmark (FTE count)</t>
  </si>
  <si>
    <t>Screen</t>
  </si>
  <si>
    <t>Those thresholds are not a published standard, and composition moves them a long way: low-mileage sedans generate far less work per VEU than a refuse fleet on the same count. Use the screen to decide whether the question deserves a full study, not to answer it. Only the passenger car, pickup and fire apparatus factors come from the audit; the factors shipped for medium dump, utility and aerial trucks; refuse packers; trailers, mowers and small equipment are illustrative.</t>
  </si>
  <si>
    <t>Hybrid plan — the split, the reason, and the rate it actually implies</t>
  </si>
  <si>
    <t>Almost nobody runs a pure model. Fleets that call themselves in-house are usually running a hybrid with no written policy for it.</t>
  </si>
  <si>
    <t>Decision</t>
  </si>
  <si>
    <t>Reason other than cost</t>
  </si>
  <si>
    <t>Hours kept in-house (hours/yr)</t>
  </si>
  <si>
    <t>Keep in-house</t>
  </si>
  <si>
    <t>Predictable, schedulable work that fills the bays and gives us control of availability</t>
  </si>
  <si>
    <t>Where Part 396 reaches us, 396.25 makes brake compliance ours whoever performs it — and 390.3(f)(2) excepts a political subdivision federally, so check our State. Keeping the work keeps the evidence in-house either way</t>
  </si>
  <si>
    <t>Institutional knowledge: the same twelve units, diagnosed faster every year</t>
  </si>
  <si>
    <t>Outsource</t>
  </si>
  <si>
    <t>Line ball on cost, and the tooling and certification are not spread over our volume</t>
  </si>
  <si>
    <t>Booth, permit and a trade we do not employ</t>
  </si>
  <si>
    <t>Decided by response time on a snow event, not by the $4k</t>
  </si>
  <si>
    <t>Certification cost cannot be spread over seven units</t>
  </si>
  <si>
    <t>Free at the dealer under 49 U.S.C. 30120(a); every hour here is money the manufacturer owed</t>
  </si>
  <si>
    <t>Capacity check</t>
  </si>
  <si>
    <t>Billable capacity at today’s staffing and direct labour share (hours/yr)</t>
  </si>
  <si>
    <t>Surplus / (deficit) (hours/yr)</t>
  </si>
  <si>
    <t>Direct labour share this plan actually implies (%)</t>
  </si>
  <si>
    <t>LOADED SHOP RATE THIS PLAN ACTUALLY IMPLIES ($/hr)</t>
  </si>
  <si>
    <t>Gap against the rate on the Loaded rate sheet ($/hr)</t>
  </si>
  <si>
    <t>Verdict</t>
  </si>
  <si>
    <t>Rows 19 and 20 are the point of this sheet. The rate on the Loaded rate sheet assumes a direct labour share you typed in; this one is the share your own decisions produce once the outsourced categories leave the bay. A technician idle half the time has a loaded rate double the one you calculated, and the gap in row 21 is that effect in dollars. If it is large, either bring work back in or restate the rate. "Overflow to vendor above capacity" keeps the hours in your plan and sends only the excess out — it is the capacity trigger a written outsourcing policy needs, and the thing Denver’s auditors could not find in 2024.</t>
  </si>
  <si>
    <t>Non-cost factors — what survives when outsourcing is cheaper</t>
  </si>
  <si>
    <t>Do the arithmetic first, state the gap plainly, then argue this on its own terms. "We are 15% more expensive and here is what that buys you" is far more credible than a savings claim that dies under a calculator.</t>
  </si>
  <si>
    <t>Factor</t>
  </si>
  <si>
    <t>Weight (1–5)</t>
  </si>
  <si>
    <t>In-house score (1–5)</t>
  </si>
  <si>
    <t>Vendor score (1–5)</t>
  </si>
  <si>
    <t>In-house weighted (points)</t>
  </si>
  <si>
    <t>Vendor weighted (points)</t>
  </si>
  <si>
    <t>Advantage to in-house (points)</t>
  </si>
  <si>
    <t>Note</t>
  </si>
  <si>
    <t>Response time to a unit down</t>
  </si>
  <si>
    <t>Snow event, a plow down at 3am. Vendors price this as a premium call-out if they cover it at all.</t>
  </si>
  <si>
    <t>Control of downtime and queue priority</t>
  </si>
  <si>
    <t>With a vendor, PM slots slip first — they are the appointment with no complaining operator behind them.</t>
  </si>
  <si>
    <t>Surge capacity</t>
  </si>
  <si>
    <t>The one factor a vendor usually wins: they can add a bay, we cannot add a technician this week.</t>
  </si>
  <si>
    <t>Warranty administration</t>
  </si>
  <si>
    <t>Servicing in-house does not void coverage, but somebody still has to file and evidence the claim.</t>
  </si>
  <si>
    <t>Recall handling</t>
  </si>
  <si>
    <t>Recall remedies are free at a dealer. There is no version of this we win.</t>
  </si>
  <si>
    <t>Compliance record custody (49 CFR 396.3, where Part 396 reaches you)</t>
  </si>
  <si>
    <t>Where Part 396 reaches us this is not a preference: the record is ours whoever turns the wrench, and a vendor's invoice file is not it. 390.3(f)(2) excepts a State or political subdivision federally, so check our State's adoption — and 390.3(d) lets us hold the standard anyway.</t>
  </si>
  <si>
    <t>Weighted score out of 5 — in-house</t>
  </si>
  <si>
    <t>Weighted score out of 5 — vendor</t>
  </si>
  <si>
    <t>Annual cost gap this has to overcome ($/yr)</t>
  </si>
  <si>
    <t>Positive means keeping the work is already cheaper and this sheet is a confirmation, not an argument.</t>
  </si>
  <si>
    <t>Weights are yours. The defaults shipped here weight response time, downtime control and compliance record custody highest, because those are the three the guide argues survive a cost disadvantage — and the last of them is not a preference where Part 396 reaches you: 49 CFR 396.3 makes the record your obligation whoever turns the wrench. Read the scope block at the top of the Compliance note sheet before you weight that row, because 49 CFR 390.3(f)(2) excepts a State or a political subdivision federally, and 49 CFR 390.3(d) is what lets you hold the standard anyway. Scores are 1 to 5. This sheet is a structured argument, not a decision rule; do not let a two-point weighting difference override a six-figure cost gap.</t>
  </si>
  <si>
    <t>Outsourcing changes who turns the wrench. It changes nothing else.</t>
  </si>
  <si>
    <t>Orientation, not legal advice. Verify against the cited regulations and your state agency.</t>
  </si>
  <si>
    <t>Scope — whether Part 396 reaches your fleet</t>
  </si>
  <si>
    <t>Part 396 reaches commercial motor vehicles as defined at 49 CFR 390.5, and it sits in subchapter B. 49 CFR 390.3(f)(2) excepts transportation performed by the Federal government, a State, or any political subdivision of a State from that subchapter — so for a city, county, township or district fleet the duties below reach you federally only through your State’s adoption of the rules. Check yours, and write down where you read it.</t>
  </si>
  <si>
    <t>49 CFR 390.3(d) says nothing in subchapter B prohibits an employer from requiring and enforcing more stringent requirements relating to safety of operation, and many public fleets hold themselves to Part 396 practice for exactly that reason. If the exception applies to you, what follows is your own standard rather than a federal duty — not a pointless one. Your State may also impose it independently. Everything below is written as the duty reads for a fleet that is in scope.</t>
  </si>
  <si>
    <t>Maintenance records — 49 CFR 396.3</t>
  </si>
  <si>
    <t>396.3(a): every motor carrier "must systematically inspect, repair, and maintain, or cause to be systematically inspected, repaired, and maintained, all motor vehicles… subject to its control." The words "or cause to be" are what make a vendor’s work still your compliance.</t>
  </si>
  <si>
    <t>396.3(b): an in-scope carrier must maintain, or cause to be maintained, records for each vehicle it controls for 30 consecutive days — identification of the vehicle, a means to indicate the nature and due date of each inspection and maintenance operation, and a record of inspections, repairs and maintenance showing their date and nature.</t>
  </si>
  <si>
    <t>396.3(c): those records are retained where the vehicle is either housed or maintained, for one year, and for six months after the vehicle leaves your control. Your vendor holding your invoices is not you holding your records, and a shoebox of receipts is not a per-vehicle file.</t>
  </si>
  <si>
    <t>Brakes — 49 CFR 396.25</t>
  </si>
  <si>
    <t>396.25(a): the carrier "must ensure that all inspections, maintenance, repairs or service to the brakes of its commercial motor vehicles, are performed in compliance with the requirements of this section" — whoever performs them.</t>
  </si>
  <si>
    <t>396.25(b) defines a brake inspector as an employee of the carrier, and 396.25(e) requires the evidence of that person’s qualifications to be held at your principal place of business or where they are employed. With an outside shop, that evidence has to come from your contract rather than from the regulation. Put it in the contract.</t>
  </si>
  <si>
    <t>Warranty and recall</t>
  </si>
  <si>
    <t>You do not lose warranty coverage by servicing in-house: 15 U.S.C. 2302(c) bars conditioning a consumer-product warranty on a branded article or service without an FTC waiver, and 16 CFR 700.1(a) resolves ambiguity in favour of coverage using automobiles as its worked example. The Act stops at equipment not normally used personally — fire apparatus, refuse packers, Class 8 tractors — where your protection is the written OEM warranty. Either way, keep records: a denied claim turns on proof of interval-compliant service.</t>
  </si>
  <si>
    <t>Recall work is free and usually not yours to do. Under 49 U.S.C. 30120(a) the manufacturer must remedy a safety defect without charge, and 30120(g)(1) ends the free remedy fifteen calendar years after first purchase — five for a tire. That is why the warranty and recall row in the Break-even table carries a vendor rate of zero.</t>
  </si>
  <si>
    <t>This sheet exists because this workbook will outlive the browser tab someone read the guide in.</t>
  </si>
  <si>
    <t>In-house shop or outsourced maintenance?</t>
  </si>
  <si>
    <t>Companion to https://fleetdesk.axionfleetai.com/guides/in-house-vs-outsourced-maintenance/</t>
  </si>
  <si>
    <t>Version 1.0 — reviewed 2026-07-29</t>
  </si>
  <si>
    <t>Sources</t>
  </si>
  <si>
    <t>Sources marked PRIMARY are regulators, standards bodies or government publications. Anything unmarked is trade press or vendor-published and should be treated as directional.</t>
  </si>
  <si>
    <t>BLS Occupational Employment and Wage Statistics, May 2025 — 49-3031 bus and truck mechanics and diesel engine specialists. Local government (excluding schools and hospitals): median $34.36/hr, 25th $28.63, 75th $41.00, annual median $71,460, employment 28,920. All industries: median $29.70/hr. Retrieved from the BLS public data API (api.bls.gov, series OEUN…493031…), because the published HTML tables refuse automated access — same estimates, machine-readable route.</t>
  </si>
  <si>
    <t>PRIMARY</t>
  </si>
  <si>
    <t>BLS Employer Costs for Employee Compensation, March 2026 — state and local government, per hour worked: wages $40.82, benefits $25.59, of which paid leave $4.86. Those two published figures divide to benefits at 62.7% of wages — a ratio derived here, not one ECEC prints; excluding paid leave and adding it back to the wage base gives 45.4%, which is the figure comparable to a fringe rate applied to paid hours. Retrieved via api.bls.gov, series CMU301/302/303/3040000000000D.</t>
  </si>
  <si>
    <t>Massachusetts Office of the Comptroller — FY2026 fringe benefit and payroll tax rates approved by the U.S. Department of Health and Human Services: 35.60% general employees, 50.83% uniformed, plus a 2.21% payroll tax. An example of how a public-sector fringe rate is set, not a national figure.</t>
  </si>
  <si>
    <t>City of Chattanooga Internal Audit — Fleet Services Efficiency Review, Audit 09-12 (August 2010). Source of the 1,760 available-hours method and the VEU staffing screen. Read its methodology statement before quoting the 120-VEU benchmark: the audit credits its benchmarks to Matrix Consulting Group, Mercury Associates and Government Fleet magazine, so it is consultant and trade-press material carried inside a government document, not an independently sampled study.</t>
  </si>
  <si>
    <t>City of Springfield, Missouri — Service Center, FY2024-25 published budget. Policy of holding internal rates within 77.5–82.5% of average private sector market rates, with FY2023-24 actual figures of $127.11 light duty at 77.8% of market and $157.43 heavy at 79.4%. The vendor rate defaults in this workbook ($163 light, $198 heavy) are each rate over its own published percent, rather than over the midpoint of the band — the city says where these two landed, so the midpoint would be a guess standing in front of a figure. The budget book never says who runs the market survey.</t>
  </si>
  <si>
    <t>Denver Auditor — DOTI Fleet Management performance audit, October 2024. Nearly $5 million ($2,511,820 plus $2,432,103) on about 800 outsourced jobs across 2022 and 2023, with no documented policies, criteria or cost-benefit analysis; a 95% availability goal against 90–94% actual across nine quarters; and a consultant finding that the city needs 76 full-time technicians against the 51 it held in March 2024.</t>
  </si>
  <si>
    <t>49 CFR 390.3 — the scope test that has to be answered before either Part 396 citation below means anything. 390.3(f)(2) excepts transportation performed by the Federal government, a State, or any political subdivision of a State from subchapter B, where Part 396 sits; 390.3(d) preserves an employer’s freedom to require and enforce more stringent requirements. Read them together with the 49 CFR 390.5 definition of a commercial motor vehicle.</t>
  </si>
  <si>
    <t>49 CFR 396.3 — inspection, repair and maintenance: the "or cause to be" duty, the per-vehicle record, and the one-year-plus-six-months retention where the vehicle is housed or maintained.</t>
  </si>
  <si>
    <t>49 CFR 396.25 — qualifications of brake inspectors. The carrier must ensure compliant brake work whoever performs it, and the definition and the evidence duty are both written around employees.</t>
  </si>
  <si>
    <t>Government Fleet — "Indirect vs. Direct Labor: How to Hit the Magic 70%". Trade press, directional only: the article is built on interviews with four fleet professionals and discloses no study and no sample. It is cited here as evidence that 70–80% circulates as a target, which is precisely why this workbook asks you to measure it.</t>
  </si>
  <si>
    <t>AAA — average mechanic labor rate, 2026. Consumer-association content republishing a vendor survey (the 2025 PartsTech report) with no sample disclosed. Carried only to show that the $150 comparison rate sits inside a commonly quoted $120–$159 band. No number in this workbook comes from it.</t>
  </si>
  <si>
    <t>Figures shipped as illustrative, because no primary source publishes them: every line of the Overhead build; the 30% vendor parts markup and 0% internal markup; the diagnostics, body, tire and specialty vendor rates; all category hours and parts spend; the "extra internal cost" column; VEU factors other than 1.0, 1.5 and 10; the ±5% "too close to call" band; and the surplus flag at a quarter of one technician. Replace them with your own numbers before this file leaves your desk.</t>
  </si>
  <si>
    <t>Record your own decisions</t>
  </si>
  <si>
    <t>The guide asks you to write these down. They travel with the workbook.</t>
  </si>
  <si>
    <t>Trailing 12-month period the direct labour share was measured over, and who pulled it:</t>
  </si>
  <si>
    <t>Source of the fringe rate, and what your finance office confirms it excludes:</t>
  </si>
  <si>
    <t>Basis of the vendor rates used — quoted, contracted, or assumed:</t>
  </si>
  <si>
    <t>Categories always outsourced, and the reason for each:</t>
  </si>
  <si>
    <t>Capacity trigger: the point at which overflow goes out rather than waits:</t>
  </si>
  <si>
    <t>Where the annual refresh of this rate is documented, and who signs it:</t>
  </si>
  <si>
    <t>About this template</t>
  </si>
  <si>
    <t>Published by Fleet Desk — https://fleetdesk.axionfleetai.com</t>
  </si>
  <si>
    <t>Free to use, adapt and distribute, including commercially. No attribution required.</t>
  </si>
  <si>
    <t>Sponsored by Axion (axionfleetai.com), which had no editorial control over this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</si>
</sst>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16" x14ac:knownFonts="1">
    <font>
      <color theme="1"/>
      <family val="2"/>
      <scheme val="minor"/>
      <sz val="11"/>
      <name val="Calibri"/>
    </font>
    <font>
      <b/>
      <sz val="14"/>
    </font>
    <font>
      <color rgb="FF666666"/>
      <sz val="9"/>
    </font>
    <font>
      <b/>
      <sz val="9"/>
    </font>
    <font>
      <sz val="10"/>
    </font>
    <font>
      <b/>
      <sz val="10"/>
    </font>
    <font>
      <b/>
      <sz val="13"/>
    </font>
    <font>
      <i/>
      <sz val="9"/>
    </font>
    <font>
      <b/>
      <color rgb="FF8A1C1C"/>
      <sz val="10"/>
    </font>
    <font>
      <b/>
      <color rgb="FFFFFFFF"/>
      <sz val="9"/>
    </font>
    <font>
      <b/>
      <sz val="11"/>
    </font>
    <font>
      <i/>
      <color rgb="FF888888"/>
      <sz val="9"/>
    </font>
    <font>
      <i/>
      <sz val="10"/>
    </font>
    <font>
      <sz val="9"/>
    </font>
    <font>
      <u/>
      <color rgb="FF1F5E70"/>
      <sz val="10"/>
    </font>
    <font>
      <b/>
      <color rgb="FF1F5E70"/>
      <sz val="8"/>
    </font>
  </fonts>
  <fills count="7">
    <fill>
      <patternFill patternType="none"/>
    </fill>
    <fill>
      <patternFill patternType="gray125"/>
    </fill>
    <fill>
      <patternFill patternType="solid">
        <fgColor rgb="FFFDF1D6"/>
      </patternFill>
    </fill>
    <fill>
      <patternFill patternType="solid">
        <fgColor rgb="FFE8EEF2"/>
      </patternFill>
    </fill>
    <fill>
      <patternFill patternType="solid">
        <fgColor rgb="FFFFF7CC"/>
      </patternFill>
    </fill>
    <fill>
      <patternFill patternType="solid">
        <fgColor rgb="FFF6D5D5"/>
      </patternFill>
    </fill>
    <fill>
      <patternFill patternType="solid">
        <fgColor rgb="FF23414B"/>
      </patternFill>
    </fill>
  </fills>
  <borders count="2">
    <border>
      <left/>
      <right/>
      <top/>
      <bottom/>
      <diagonal/>
    </border>
    <border>
      <left/>
      <right/>
      <top/>
      <bottom style="hair"/>
      <diagonal/>
    </border>
  </borders>
  <cellStyleXfs count="1">
    <xf numFmtId="0" fontId="0" fillId="0" borderId="0"/>
  </cellStyleXfs>
  <cellXfs count="41">
    <xf numFmtId="0" fontId="0" fillId="0" borderId="0" xfId="0"/>
    <xf numFmtId="0" fontId="1" fillId="0" borderId="0" xfId="0" applyFont="1"/>
    <xf numFmtId="0" fontId="2" fillId="0" borderId="0" xfId="0" applyFont="1"/>
    <xf numFmtId="0" fontId="3" fillId="2" borderId="0" xfId="0" applyFont="1" applyFill="1"/>
    <xf numFmtId="0" fontId="3" fillId="3" borderId="0" xfId="0" applyFont="1" applyFill="1"/>
    <xf numFmtId="0" fontId="4" fillId="0" borderId="0" xfId="0" applyFont="1" applyAlignment="1">
      <alignment vertical="top" wrapText="1"/>
    </xf>
    <xf numFmtId="0" fontId="5" fillId="0" borderId="0" xfId="0" applyFont="1"/>
    <xf numFmtId="0" fontId="4" fillId="4" borderId="0" xfId="0" applyFont="1" applyFill="1"/>
    <xf numFmtId="0" fontId="6" fillId="0" borderId="0" xfId="0" applyFont="1"/>
    <xf numFmtId="0" fontId="7" fillId="0" borderId="0" xfId="0" applyFont="1" applyAlignment="1">
      <alignment vertical="top" wrapText="1"/>
    </xf>
    <xf numFmtId="0" fontId="8" fillId="5" borderId="0" xfId="0" applyFont="1" applyFill="1"/>
    <xf numFmtId="0" fontId="9" fillId="6" borderId="0" xfId="0" applyFont="1" applyFill="1" applyAlignment="1">
      <alignment vertical="bottom" wrapText="1"/>
    </xf>
    <xf numFmtId="4" fontId="0" fillId="2" borderId="0" xfId="0" applyNumberFormat="1" applyFill="1"/>
    <xf numFmtId="164" fontId="0" fillId="2" borderId="0" xfId="0" applyNumberFormat="1" applyFill="1"/>
    <xf numFmtId="4" fontId="0" fillId="3" borderId="0" xfId="0" applyNumberFormat="1" applyFill="1"/>
    <xf numFmtId="3" fontId="0" fillId="2" borderId="0" xfId="0" applyNumberFormat="1" applyFill="1"/>
    <xf numFmtId="165" fontId="0" fillId="3" borderId="0" xfId="0" applyNumberFormat="1" applyFill="1"/>
    <xf numFmtId="3" fontId="0" fillId="3" borderId="0" xfId="0" applyNumberFormat="1" applyFill="1"/>
    <xf numFmtId="4" fontId="5" fillId="4" borderId="0" xfId="0" applyNumberFormat="1" applyFont="1" applyFill="1"/>
    <xf numFmtId="166" fontId="0" fillId="3" borderId="0" xfId="0" applyNumberFormat="1" applyFill="1"/>
    <xf numFmtId="0" fontId="10" fillId="0" borderId="0" xfId="0" applyFont="1"/>
    <xf numFmtId="164" fontId="0" fillId="3" borderId="0" xfId="0" applyNumberFormat="1" applyFill="1"/>
    <xf numFmtId="0" fontId="0" fillId="2" borderId="0" xfId="0" applyFill="1"/>
    <xf numFmtId="0" fontId="11" fillId="2" borderId="0" xfId="0" applyFont="1" applyFill="1"/>
    <xf numFmtId="0" fontId="5" fillId="0" borderId="0" xfId="0" applyFont="1" applyAlignment="1">
      <alignment vertical="top" wrapText="1"/>
    </xf>
    <xf numFmtId="3" fontId="5" fillId="4" borderId="0" xfId="0" applyNumberFormat="1" applyFont="1" applyFill="1"/>
    <xf numFmtId="0" fontId="7" fillId="3" borderId="0" xfId="0" applyFont="1" applyFill="1" applyAlignment="1">
      <alignment vertical="top" wrapText="1"/>
    </xf>
    <xf numFmtId="165" fontId="5" fillId="4" borderId="0" xfId="0" applyNumberFormat="1" applyFont="1" applyFill="1"/>
    <xf numFmtId="0" fontId="12" fillId="3" borderId="0" xfId="0" applyFont="1" applyFill="1" applyAlignment="1">
      <alignment vertical="center" wrapText="1"/>
    </xf>
    <xf numFmtId="0" fontId="0" fillId="3" borderId="0" xfId="0" applyFill="1"/>
    <xf numFmtId="0" fontId="5" fillId="2" borderId="0" xfId="0" applyFont="1" applyFill="1" applyAlignment="1">
      <alignment vertical="top" wrapText="1"/>
    </xf>
    <xf numFmtId="0" fontId="13" fillId="2" borderId="0" xfId="0" applyFont="1" applyFill="1" applyAlignment="1">
      <alignment vertical="top" wrapText="1"/>
    </xf>
    <xf numFmtId="1" fontId="0" fillId="2" borderId="0" xfId="0" applyNumberFormat="1" applyFill="1" applyAlignment="1">
      <alignment horizontal="center"/>
    </xf>
    <xf numFmtId="0" fontId="10" fillId="0" borderId="0" xfId="0" applyFont="1" applyAlignment="1">
      <alignment vertical="top" wrapText="1"/>
    </xf>
    <xf numFmtId="0" fontId="12" fillId="0" borderId="0" xfId="0" applyFont="1" applyAlignment="1">
      <alignment vertical="top" wrapText="1"/>
    </xf>
    <xf numFmtId="0" fontId="4" fillId="0" borderId="0" xfId="0" applyFont="1" applyAlignment="1">
      <alignment wrapText="1"/>
    </xf>
    <xf numFmtId="0" fontId="12" fillId="0" borderId="0" xfId="0" applyFont="1" applyAlignment="1">
      <alignment wrapText="1"/>
    </xf>
    <xf numFmtId="0" fontId="14" fillId="0" borderId="0" xfId="0" applyFont="1"/>
    <xf numFmtId="0" fontId="15" fillId="0" borderId="0" xfId="0" applyFont="1"/>
    <xf numFmtId="0" fontId="4" fillId="0" borderId="0" xfId="0" applyFont="1"/>
    <xf numFmtId="0" fontId="0" fillId="2" borderId="1" xfId="0" applyFill="1" applyBorder="1"/>
  </cellXfs>
  <cellStyles count="1">
    <cellStyle name="Normal" xfId="0" builtinId="0"/>
  </cellStyles>
  <dxfs count="2">
    <dxf>
      <fill>
        <patternFill patternType="solid">
          <fgColor rgb="FFFDE2E2"/>
        </patternFill>
      </fill>
    </dxf>
    <dxf>
      <fill>
        <patternFill patternType="solid">
          <fgColor rgb="FFFD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hyperlink" Target="https://www.bls.gov/oes/current/oes493031.htm" TargetMode="External"/><Relationship Id="rId2" Type="http://schemas.openxmlformats.org/officeDocument/2006/relationships/hyperlink" Target="https://www.bls.gov/news.release/ecec.nr0.htm" TargetMode="External"/><Relationship Id="rId3" Type="http://schemas.openxmlformats.org/officeDocument/2006/relationships/hyperlink" Target="https://www.macomptroller.org/announcement/fiscal-year-memo-2026-13-approved-fiscal-year-2026-fringe-benefit-and-payroll-tax-rates/" TargetMode="External"/><Relationship Id="rId4" Type="http://schemas.openxmlformats.org/officeDocument/2006/relationships/hyperlink" Target="https://chattanooga.gov/sites/default/files/resources/Audit0912FleetEfficiency.pdf" TargetMode="External"/><Relationship Id="rId5" Type="http://schemas.openxmlformats.org/officeDocument/2006/relationships/hyperlink" Target="https://stories.opengov.com/springfieldmo/published/5Qpe7k3bNbS" TargetMode="External"/><Relationship Id="rId6" Type="http://schemas.openxmlformats.org/officeDocument/2006/relationships/hyperlink" Target="https://denvergov.org/files/assets/public/v/6/auditor/documents/audit-services/audit-reports/2024/fleet-management-october-2024-final.pdf" TargetMode="External"/><Relationship Id="rId7" Type="http://schemas.openxmlformats.org/officeDocument/2006/relationships/hyperlink" Target="https://www.ecfr.gov/current/title-49/section-390.3" TargetMode="External"/><Relationship Id="rId8" Type="http://schemas.openxmlformats.org/officeDocument/2006/relationships/hyperlink" Target="https://www.ecfr.gov/current/title-49/section-396.3" TargetMode="External"/><Relationship Id="rId9" Type="http://schemas.openxmlformats.org/officeDocument/2006/relationships/hyperlink" Target="https://www.ecfr.gov/current/title-49/section-396.25" TargetMode="External"/><Relationship Id="rId10" Type="http://schemas.openxmlformats.org/officeDocument/2006/relationships/hyperlink" Target="https://www.government-fleet.com/articles/indirect-vs-direct-labor-how-to-hit-the-magic-70" TargetMode="External"/><Relationship Id="rId11" Type="http://schemas.openxmlformats.org/officeDocument/2006/relationships/hyperlink" Target="https://www.aaa.com/autorepair/articles/average-mechanic-labor-rate-repair-costs-in-your-state-2026" TargetMode="External"/><Relationship Id="rId12" Type="http://schemas.openxmlformats.org/officeDocument/2006/relationships/hyperlink" Target="https://fleetdesk.axionfleetai.com/guides/in-house-vs-outsourced-mainten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FormatPr defaultRowHeight="15" outlineLevelRow="0" outlineLevelCol="0" x14ac:dyDescent="55"/>
  <cols>
    <col min="1" max="1" width="96" customWidth="1"/>
  </cols>
  <sheetData>
    <row r="1" spans="1:1" x14ac:dyDescent="0.25">
      <c r="A1" s="1" t="s">
        <v>0</v>
      </c>
    </row>
    <row r="2" spans="1:1" x14ac:dyDescent="0.25">
      <c r="A2" s="2" t="s">
        <v>1</v>
      </c>
    </row>
    <row r="4" spans="1:6" x14ac:dyDescent="0.25">
      <c r="A4" s="3" t="s">
        <v>2</v>
      </c>
      <c r="B4" s="3"/>
      <c r="C4" s="3"/>
      <c r="D4" s="4" t="s">
        <v>3</v>
      </c>
      <c r="E4" s="4"/>
      <c r="F4" s="4"/>
    </row>
    <row r="6" ht="28" customHeight="1" spans="1:1" x14ac:dyDescent="0.25">
      <c r="A6" s="5" t="s">
        <v>4</v>
      </c>
    </row>
    <row r="7" ht="28" customHeight="1" spans="1:1" x14ac:dyDescent="0.25">
      <c r="A7" s="5" t="s">
        <v>5</v>
      </c>
    </row>
    <row r="8" ht="28" customHeight="1" spans="1:1" x14ac:dyDescent="0.25">
      <c r="A8" s="5" t="s">
        <v>6</v>
      </c>
    </row>
    <row r="9" ht="28" customHeight="1" spans="1:1" x14ac:dyDescent="0.25">
      <c r="A9" s="5" t="s">
        <v>7</v>
      </c>
    </row>
    <row r="10" ht="28" customHeight="1" spans="1:1" x14ac:dyDescent="0.25">
      <c r="A10" s="5" t="s">
        <v>8</v>
      </c>
    </row>
    <row r="11" ht="28" customHeight="1" spans="1:1" x14ac:dyDescent="0.25">
      <c r="A11" s="5" t="s">
        <v>9</v>
      </c>
    </row>
    <row r="12" ht="28" customHeight="1" spans="1:1" x14ac:dyDescent="0.25">
      <c r="A12" s="5" t="s">
        <v>10</v>
      </c>
    </row>
    <row r="13" ht="28" customHeight="1" spans="1:1" x14ac:dyDescent="0.25">
      <c r="A13" s="5" t="s">
        <v>11</v>
      </c>
    </row>
    <row r="14" ht="28" customHeight="1" spans="1:1" x14ac:dyDescent="0.25">
      <c r="A14" s="5" t="s">
        <v>12</v>
      </c>
    </row>
    <row r="15" ht="28" customHeight="1" spans="1:1" x14ac:dyDescent="0.25">
      <c r="A15" s="5" t="s">
        <v>13</v>
      </c>
    </row>
    <row r="17" spans="1:1" x14ac:dyDescent="0.25">
      <c r="A17" s="6" t="s">
        <v>14</v>
      </c>
    </row>
    <row r="18" spans="1:1" x14ac:dyDescent="0.25">
      <c r="A18" s="7" t="s">
        <v>15</v>
      </c>
    </row>
    <row r="19" spans="1:1" x14ac:dyDescent="0.25">
      <c r="A19" s="7" t="s">
        <v>16</v>
      </c>
    </row>
    <row r="20" spans="1:1" x14ac:dyDescent="0.25">
      <c r="A20" s="7" t="s">
        <v>17</v>
      </c>
    </row>
  </sheetData>
  <mergeCells count="2">
    <mergeCell ref="A4:C4"/>
    <mergeCell ref="D4:F4"/>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4"/>
  <sheetViews>
    <sheetView workbookViewId="0">
      <pane xSplit="1" ySplit="5" topLeftCell="B6" activePane="bottomRight" state="frozen"/>
      <selection pane="bottomRight"/>
    </sheetView>
  </sheetViews>
  <sheetFormatPr defaultRowHeight="15" outlineLevelRow="0" outlineLevelCol="0" x14ac:dyDescent="55"/>
  <cols>
    <col min="1" max="1" width="64" customWidth="1"/>
    <col min="2" max="2" width="15" customWidth="1"/>
    <col min="3" max="3" width="56" customWidth="1"/>
    <col min="4" max="6" width="15" customWidth="1"/>
  </cols>
  <sheetData>
    <row r="1" spans="1:1" x14ac:dyDescent="0.25">
      <c r="A1" s="8" t="s">
        <v>18</v>
      </c>
    </row>
    <row r="2" ht="26" customHeight="1" spans="1:3" x14ac:dyDescent="0.25">
      <c r="A2" s="9" t="s">
        <v>19</v>
      </c>
      <c r="B2" s="9"/>
      <c r="C2" s="9"/>
    </row>
    <row r="3" spans="1:6" x14ac:dyDescent="0.25">
      <c r="A3" s="3" t="s">
        <v>2</v>
      </c>
      <c r="B3" s="3"/>
      <c r="C3" s="3"/>
      <c r="D3" s="4" t="s">
        <v>3</v>
      </c>
      <c r="E3" s="4"/>
      <c r="F3" s="4"/>
    </row>
    <row r="4" spans="1:3" x14ac:dyDescent="0.25">
      <c r="A4" s="10" t="s">
        <v>20</v>
      </c>
      <c r="B4" s="10"/>
      <c r="C4" s="10"/>
    </row>
    <row r="5" ht="30" customHeight="1" spans="1:3" x14ac:dyDescent="0.25">
      <c r="A5" s="11" t="s">
        <v>21</v>
      </c>
      <c r="B5" s="11" t="s">
        <v>22</v>
      </c>
      <c r="C5" s="11" t="s">
        <v>23</v>
      </c>
    </row>
    <row r="6" spans="1:3" x14ac:dyDescent="0.25">
      <c r="A6" s="5" t="s">
        <v>24</v>
      </c>
      <c r="B6" s="12">
        <v>34</v>
      </c>
      <c r="C6" s="9" t="s">
        <v>25</v>
      </c>
    </row>
    <row r="7" spans="1:3" x14ac:dyDescent="0.25">
      <c r="A7" s="5" t="s">
        <v>26</v>
      </c>
      <c r="B7" s="13">
        <v>36</v>
      </c>
      <c r="C7" s="9" t="s">
        <v>27</v>
      </c>
    </row>
    <row r="8" spans="1:3" x14ac:dyDescent="0.25">
      <c r="A8" s="5" t="s">
        <v>28</v>
      </c>
      <c r="B8" s="14">
        <f>B6*(1+B7/100)</f>
      </c>
      <c r="C8" s="9" t="s">
        <v>29</v>
      </c>
    </row>
    <row r="9" spans="1:3" x14ac:dyDescent="0.25">
      <c r="A9" s="5" t="s">
        <v>30</v>
      </c>
      <c r="B9" s="15">
        <v>2080</v>
      </c>
      <c r="C9" s="9" t="s">
        <v>31</v>
      </c>
    </row>
    <row r="10" spans="1:3" x14ac:dyDescent="0.25">
      <c r="A10" s="5" t="s">
        <v>32</v>
      </c>
      <c r="B10" s="15">
        <v>1760</v>
      </c>
      <c r="C10" s="9" t="s">
        <v>33</v>
      </c>
    </row>
    <row r="11" spans="1:3" x14ac:dyDescent="0.25">
      <c r="A11" s="5" t="s">
        <v>34</v>
      </c>
      <c r="B11" s="13">
        <v>70</v>
      </c>
      <c r="C11" s="9" t="s">
        <v>35</v>
      </c>
    </row>
    <row r="12" spans="1:3" x14ac:dyDescent="0.25">
      <c r="A12" s="5" t="s">
        <v>36</v>
      </c>
      <c r="B12" s="16">
        <f>B10*B11/100</f>
      </c>
      <c r="C12" s="9" t="s">
        <v>37</v>
      </c>
    </row>
    <row r="13" spans="1:2" x14ac:dyDescent="0.25">
      <c r="A13" s="5" t="s">
        <v>38</v>
      </c>
      <c r="B13" s="17">
        <f>B8*B9</f>
      </c>
    </row>
    <row r="14" spans="1:3" x14ac:dyDescent="0.25">
      <c r="A14" s="5" t="s">
        <v>39</v>
      </c>
      <c r="B14" s="17">
        <f>'Overhead build'!B23</f>
      </c>
      <c r="C14" s="9" t="s">
        <v>40</v>
      </c>
    </row>
    <row r="15" spans="1:2" x14ac:dyDescent="0.25">
      <c r="A15" s="5" t="s">
        <v>41</v>
      </c>
      <c r="B15" s="17">
        <f>B13+B14</f>
      </c>
    </row>
    <row r="16" spans="1:3" x14ac:dyDescent="0.25">
      <c r="A16" s="5" t="s">
        <v>42</v>
      </c>
      <c r="B16" s="18">
        <f>IFERROR(B15/B12,"")</f>
      </c>
      <c r="C16" s="9" t="s">
        <v>43</v>
      </c>
    </row>
    <row r="17" spans="1:3" x14ac:dyDescent="0.25">
      <c r="A17" s="5" t="s">
        <v>44</v>
      </c>
      <c r="B17" s="14">
        <f>IFERROR(B13/B12,"")</f>
      </c>
      <c r="C17" s="9" t="s">
        <v>45</v>
      </c>
    </row>
    <row r="18" spans="1:3" x14ac:dyDescent="0.25">
      <c r="A18" s="5" t="s">
        <v>46</v>
      </c>
      <c r="B18" s="14">
        <f>IFERROR(B14/B12,"")</f>
      </c>
      <c r="C18" s="9" t="s">
        <v>47</v>
      </c>
    </row>
    <row r="19" spans="1:3" x14ac:dyDescent="0.25">
      <c r="A19" s="5" t="s">
        <v>48</v>
      </c>
      <c r="B19" s="19">
        <f>IFERROR(B12/B9,"")</f>
      </c>
      <c r="C19" s="9" t="s">
        <v>49</v>
      </c>
    </row>
    <row r="20" spans="1:3" x14ac:dyDescent="0.25">
      <c r="A20" s="5" t="s">
        <v>50</v>
      </c>
      <c r="B20" s="12">
        <v>150</v>
      </c>
      <c r="C20" s="9" t="s">
        <v>51</v>
      </c>
    </row>
    <row r="21" spans="1:2" x14ac:dyDescent="0.25">
      <c r="A21" s="5" t="s">
        <v>52</v>
      </c>
      <c r="B21" s="14">
        <f>IFERROR(B20-B16,"")</f>
      </c>
    </row>
    <row r="22" spans="1:3" x14ac:dyDescent="0.25">
      <c r="A22" s="5" t="s">
        <v>53</v>
      </c>
      <c r="B22" s="19">
        <f>IFERROR((B20-B16)/B20,"")</f>
      </c>
      <c r="C22" s="9" t="s">
        <v>54</v>
      </c>
    </row>
    <row r="24" spans="1:1" x14ac:dyDescent="0.25">
      <c r="A24" s="20" t="s">
        <v>55</v>
      </c>
    </row>
    <row r="25" spans="1:3" x14ac:dyDescent="0.25">
      <c r="A25" s="5" t="s">
        <v>56</v>
      </c>
      <c r="B25" s="14">
        <v>34.36</v>
      </c>
      <c r="C25" s="9" t="s">
        <v>57</v>
      </c>
    </row>
    <row r="26" spans="1:2" x14ac:dyDescent="0.25">
      <c r="A26" s="5" t="s">
        <v>58</v>
      </c>
      <c r="B26" s="19">
        <f>IFERROR(B6/B25-1,"")</f>
      </c>
    </row>
    <row r="27" spans="1:3" x14ac:dyDescent="0.25">
      <c r="A27" s="5" t="s">
        <v>59</v>
      </c>
      <c r="B27" s="21">
        <v>45.38091068301226</v>
      </c>
      <c r="C27" s="9" t="s">
        <v>60</v>
      </c>
    </row>
    <row r="28" spans="1:2" x14ac:dyDescent="0.25">
      <c r="A28" s="5" t="s">
        <v>61</v>
      </c>
      <c r="B28" s="21">
        <f>B7-B27</f>
      </c>
    </row>
    <row r="29" ht="44" customHeight="1" spans="1:3" x14ac:dyDescent="0.25">
      <c r="A29" s="9" t="s">
        <v>62</v>
      </c>
      <c r="B29" s="9"/>
      <c r="C29" s="9"/>
    </row>
    <row r="31" spans="1:1" x14ac:dyDescent="0.25">
      <c r="A31" s="20" t="s">
        <v>63</v>
      </c>
    </row>
    <row r="32" ht="26" customHeight="1" spans="1:6" x14ac:dyDescent="0.25">
      <c r="A32" s="9" t="s">
        <v>64</v>
      </c>
      <c r="B32" s="9"/>
      <c r="C32" s="9"/>
      <c r="D32" s="9"/>
      <c r="E32" s="9"/>
      <c r="F32" s="9"/>
    </row>
    <row r="33" ht="30" customHeight="1" spans="1:6" x14ac:dyDescent="0.25">
      <c r="A33" s="11" t="s">
        <v>65</v>
      </c>
      <c r="B33" s="13">
        <v>25</v>
      </c>
      <c r="C33" s="13">
        <v>30</v>
      </c>
      <c r="D33" s="13">
        <v>35</v>
      </c>
      <c r="E33" s="13">
        <v>40</v>
      </c>
      <c r="F33" s="13">
        <v>45</v>
      </c>
    </row>
    <row r="34" spans="1:6" x14ac:dyDescent="0.25">
      <c r="A34" s="13">
        <v>50</v>
      </c>
      <c r="B34" s="14">
        <f>IFERROR(($B$6*(1+B$33/100)*$B$9+$B$14)/($B$10*$A34/100),"")</f>
      </c>
      <c r="C34" s="14">
        <f>IFERROR(($B$6*(1+C$33/100)*$B$9+$B$14)/($B$10*$A34/100),"")</f>
      </c>
      <c r="D34" s="14">
        <f>IFERROR(($B$6*(1+D$33/100)*$B$9+$B$14)/($B$10*$A34/100),"")</f>
      </c>
      <c r="E34" s="14">
        <f>IFERROR(($B$6*(1+E$33/100)*$B$9+$B$14)/($B$10*$A34/100),"")</f>
      </c>
      <c r="F34" s="14">
        <f>IFERROR(($B$6*(1+F$33/100)*$B$9+$B$14)/($B$10*$A34/100),"")</f>
      </c>
    </row>
    <row r="35" spans="1:6" x14ac:dyDescent="0.25">
      <c r="A35" s="13">
        <v>55</v>
      </c>
      <c r="B35" s="14">
        <f>IFERROR(($B$6*(1+B$33/100)*$B$9+$B$14)/($B$10*$A35/100),"")</f>
      </c>
      <c r="C35" s="14">
        <f>IFERROR(($B$6*(1+C$33/100)*$B$9+$B$14)/($B$10*$A35/100),"")</f>
      </c>
      <c r="D35" s="14">
        <f>IFERROR(($B$6*(1+D$33/100)*$B$9+$B$14)/($B$10*$A35/100),"")</f>
      </c>
      <c r="E35" s="14">
        <f>IFERROR(($B$6*(1+E$33/100)*$B$9+$B$14)/($B$10*$A35/100),"")</f>
      </c>
      <c r="F35" s="14">
        <f>IFERROR(($B$6*(1+F$33/100)*$B$9+$B$14)/($B$10*$A35/100),"")</f>
      </c>
    </row>
    <row r="36" spans="1:6" x14ac:dyDescent="0.25">
      <c r="A36" s="13">
        <v>60</v>
      </c>
      <c r="B36" s="14">
        <f>IFERROR(($B$6*(1+B$33/100)*$B$9+$B$14)/($B$10*$A36/100),"")</f>
      </c>
      <c r="C36" s="14">
        <f>IFERROR(($B$6*(1+C$33/100)*$B$9+$B$14)/($B$10*$A36/100),"")</f>
      </c>
      <c r="D36" s="14">
        <f>IFERROR(($B$6*(1+D$33/100)*$B$9+$B$14)/($B$10*$A36/100),"")</f>
      </c>
      <c r="E36" s="14">
        <f>IFERROR(($B$6*(1+E$33/100)*$B$9+$B$14)/($B$10*$A36/100),"")</f>
      </c>
      <c r="F36" s="14">
        <f>IFERROR(($B$6*(1+F$33/100)*$B$9+$B$14)/($B$10*$A36/100),"")</f>
      </c>
    </row>
    <row r="37" spans="1:6" x14ac:dyDescent="0.25">
      <c r="A37" s="13">
        <v>65</v>
      </c>
      <c r="B37" s="14">
        <f>IFERROR(($B$6*(1+B$33/100)*$B$9+$B$14)/($B$10*$A37/100),"")</f>
      </c>
      <c r="C37" s="14">
        <f>IFERROR(($B$6*(1+C$33/100)*$B$9+$B$14)/($B$10*$A37/100),"")</f>
      </c>
      <c r="D37" s="14">
        <f>IFERROR(($B$6*(1+D$33/100)*$B$9+$B$14)/($B$10*$A37/100),"")</f>
      </c>
      <c r="E37" s="14">
        <f>IFERROR(($B$6*(1+E$33/100)*$B$9+$B$14)/($B$10*$A37/100),"")</f>
      </c>
      <c r="F37" s="14">
        <f>IFERROR(($B$6*(1+F$33/100)*$B$9+$B$14)/($B$10*$A37/100),"")</f>
      </c>
    </row>
    <row r="38" spans="1:6" x14ac:dyDescent="0.25">
      <c r="A38" s="13">
        <v>70</v>
      </c>
      <c r="B38" s="14">
        <f>IFERROR(($B$6*(1+B$33/100)*$B$9+$B$14)/($B$10*$A38/100),"")</f>
      </c>
      <c r="C38" s="14">
        <f>IFERROR(($B$6*(1+C$33/100)*$B$9+$B$14)/($B$10*$A38/100),"")</f>
      </c>
      <c r="D38" s="14">
        <f>IFERROR(($B$6*(1+D$33/100)*$B$9+$B$14)/($B$10*$A38/100),"")</f>
      </c>
      <c r="E38" s="14">
        <f>IFERROR(($B$6*(1+E$33/100)*$B$9+$B$14)/($B$10*$A38/100),"")</f>
      </c>
      <c r="F38" s="14">
        <f>IFERROR(($B$6*(1+F$33/100)*$B$9+$B$14)/($B$10*$A38/100),"")</f>
      </c>
    </row>
    <row r="39" spans="1:6" x14ac:dyDescent="0.25">
      <c r="A39" s="13">
        <v>75</v>
      </c>
      <c r="B39" s="14">
        <f>IFERROR(($B$6*(1+B$33/100)*$B$9+$B$14)/($B$10*$A39/100),"")</f>
      </c>
      <c r="C39" s="14">
        <f>IFERROR(($B$6*(1+C$33/100)*$B$9+$B$14)/($B$10*$A39/100),"")</f>
      </c>
      <c r="D39" s="14">
        <f>IFERROR(($B$6*(1+D$33/100)*$B$9+$B$14)/($B$10*$A39/100),"")</f>
      </c>
      <c r="E39" s="14">
        <f>IFERROR(($B$6*(1+E$33/100)*$B$9+$B$14)/($B$10*$A39/100),"")</f>
      </c>
      <c r="F39" s="14">
        <f>IFERROR(($B$6*(1+F$33/100)*$B$9+$B$14)/($B$10*$A39/100),"")</f>
      </c>
    </row>
    <row r="40" spans="1:6" x14ac:dyDescent="0.25">
      <c r="A40" s="13">
        <v>80</v>
      </c>
      <c r="B40" s="14">
        <f>IFERROR(($B$6*(1+B$33/100)*$B$9+$B$14)/($B$10*$A40/100),"")</f>
      </c>
      <c r="C40" s="14">
        <f>IFERROR(($B$6*(1+C$33/100)*$B$9+$B$14)/($B$10*$A40/100),"")</f>
      </c>
      <c r="D40" s="14">
        <f>IFERROR(($B$6*(1+D$33/100)*$B$9+$B$14)/($B$10*$A40/100),"")</f>
      </c>
      <c r="E40" s="14">
        <f>IFERROR(($B$6*(1+E$33/100)*$B$9+$B$14)/($B$10*$A40/100),"")</f>
      </c>
      <c r="F40" s="14">
        <f>IFERROR(($B$6*(1+F$33/100)*$B$9+$B$14)/($B$10*$A40/100),"")</f>
      </c>
    </row>
    <row r="41" spans="1:6" x14ac:dyDescent="0.25">
      <c r="A41" s="13">
        <v>85</v>
      </c>
      <c r="B41" s="14">
        <f>IFERROR(($B$6*(1+B$33/100)*$B$9+$B$14)/($B$10*$A41/100),"")</f>
      </c>
      <c r="C41" s="14">
        <f>IFERROR(($B$6*(1+C$33/100)*$B$9+$B$14)/($B$10*$A41/100),"")</f>
      </c>
      <c r="D41" s="14">
        <f>IFERROR(($B$6*(1+D$33/100)*$B$9+$B$14)/($B$10*$A41/100),"")</f>
      </c>
      <c r="E41" s="14">
        <f>IFERROR(($B$6*(1+E$33/100)*$B$9+$B$14)/($B$10*$A41/100),"")</f>
      </c>
      <c r="F41" s="14">
        <f>IFERROR(($B$6*(1+F$33/100)*$B$9+$B$14)/($B$10*$A41/100),"")</f>
      </c>
    </row>
    <row r="42" spans="1:6" x14ac:dyDescent="0.25">
      <c r="A42" s="13">
        <v>90</v>
      </c>
      <c r="B42" s="14">
        <f>IFERROR(($B$6*(1+B$33/100)*$B$9+$B$14)/($B$10*$A42/100),"")</f>
      </c>
      <c r="C42" s="14">
        <f>IFERROR(($B$6*(1+C$33/100)*$B$9+$B$14)/($B$10*$A42/100),"")</f>
      </c>
      <c r="D42" s="14">
        <f>IFERROR(($B$6*(1+D$33/100)*$B$9+$B$14)/($B$10*$A42/100),"")</f>
      </c>
      <c r="E42" s="14">
        <f>IFERROR(($B$6*(1+E$33/100)*$B$9+$B$14)/($B$10*$A42/100),"")</f>
      </c>
      <c r="F42" s="14">
        <f>IFERROR(($B$6*(1+F$33/100)*$B$9+$B$14)/($B$10*$A42/100),"")</f>
      </c>
    </row>
    <row r="44" ht="30" customHeight="1" spans="1:6" x14ac:dyDescent="0.25">
      <c r="A44" s="9" t="s">
        <v>66</v>
      </c>
      <c r="B44" s="9"/>
      <c r="C44" s="9"/>
      <c r="D44" s="9"/>
      <c r="E44" s="9"/>
      <c r="F44" s="9"/>
    </row>
  </sheetData>
  <mergeCells count="7">
    <mergeCell ref="A2:C2"/>
    <mergeCell ref="A3:C3"/>
    <mergeCell ref="D3:F3"/>
    <mergeCell ref="A4:C4"/>
    <mergeCell ref="A29:C29"/>
    <mergeCell ref="A32:F32"/>
    <mergeCell ref="A44:F44"/>
  </mergeCells>
  <conditionalFormatting sqref="B34:F42">
    <cfRule type="cellIs" dxfId="0" priority="1" operator="greaterThan">
      <formula>$B$20</formula>
    </cfRule>
  </conditionalFormatting>
  <pageMargins left="0.4" right="0.4" top="0.5" bottom="0.5" header="0.3" footer="0.3"/>
  <pageSetup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workbookViewId="0">
      <pane xSplit="1" ySplit="5" topLeftCell="B6" activePane="bottomRight" state="frozen"/>
      <selection pane="bottomRight"/>
    </sheetView>
  </sheetViews>
  <sheetFormatPr defaultRowHeight="15" outlineLevelRow="0" outlineLevelCol="0" x14ac:dyDescent="55"/>
  <cols>
    <col min="1" max="1" width="62" customWidth="1"/>
    <col min="2" max="2" width="16" customWidth="1"/>
    <col min="3" max="3" width="74" customWidth="1"/>
  </cols>
  <sheetData>
    <row r="1" spans="1:1" x14ac:dyDescent="0.25">
      <c r="A1" s="8" t="s">
        <v>67</v>
      </c>
    </row>
    <row r="2" ht="26" customHeight="1" spans="1:3" x14ac:dyDescent="0.25">
      <c r="A2" s="9" t="s">
        <v>68</v>
      </c>
      <c r="B2" s="9"/>
      <c r="C2" s="9"/>
    </row>
    <row r="3" spans="1:6" x14ac:dyDescent="0.25">
      <c r="A3" s="3" t="s">
        <v>2</v>
      </c>
      <c r="B3" s="3"/>
      <c r="C3" s="3"/>
      <c r="D3" s="4" t="s">
        <v>3</v>
      </c>
      <c r="E3" s="4"/>
      <c r="F3" s="4"/>
    </row>
    <row r="4" spans="1:3" x14ac:dyDescent="0.25">
      <c r="A4" s="10" t="s">
        <v>20</v>
      </c>
      <c r="B4" s="10"/>
      <c r="C4" s="10"/>
    </row>
    <row r="5" ht="30" customHeight="1" spans="1:3" x14ac:dyDescent="0.25">
      <c r="A5" s="11" t="s">
        <v>69</v>
      </c>
      <c r="B5" s="11" t="s">
        <v>70</v>
      </c>
      <c r="C5" s="11" t="s">
        <v>71</v>
      </c>
    </row>
    <row r="6" spans="1:3" x14ac:dyDescent="0.25">
      <c r="A6" s="22" t="s">
        <v>72</v>
      </c>
      <c r="B6" s="15">
        <v>22000</v>
      </c>
      <c r="C6" s="9" t="s">
        <v>73</v>
      </c>
    </row>
    <row r="7" spans="1:2" x14ac:dyDescent="0.25">
      <c r="A7" s="22" t="s">
        <v>74</v>
      </c>
      <c r="B7" s="15">
        <v>9500</v>
      </c>
    </row>
    <row r="8" spans="1:3" x14ac:dyDescent="0.25">
      <c r="A8" s="22" t="s">
        <v>75</v>
      </c>
      <c r="B8" s="15">
        <v>14000</v>
      </c>
      <c r="C8" s="9" t="s">
        <v>76</v>
      </c>
    </row>
    <row r="9" spans="1:3" x14ac:dyDescent="0.25">
      <c r="A9" s="22" t="s">
        <v>77</v>
      </c>
      <c r="B9" s="15">
        <v>11500</v>
      </c>
      <c r="C9" s="9" t="s">
        <v>78</v>
      </c>
    </row>
    <row r="10" spans="1:2" x14ac:dyDescent="0.25">
      <c r="A10" s="22" t="s">
        <v>79</v>
      </c>
      <c r="B10" s="15">
        <v>6500</v>
      </c>
    </row>
    <row r="11" spans="1:2" x14ac:dyDescent="0.25">
      <c r="A11" s="22" t="s">
        <v>80</v>
      </c>
      <c r="B11" s="15">
        <v>4200</v>
      </c>
    </row>
    <row r="12" spans="1:2" x14ac:dyDescent="0.25">
      <c r="A12" s="22" t="s">
        <v>81</v>
      </c>
      <c r="B12" s="15">
        <v>3400</v>
      </c>
    </row>
    <row r="13" spans="1:2" x14ac:dyDescent="0.25">
      <c r="A13" s="22" t="s">
        <v>82</v>
      </c>
      <c r="B13" s="15">
        <v>2600</v>
      </c>
    </row>
    <row r="14" spans="1:3" x14ac:dyDescent="0.25">
      <c r="A14" s="22" t="s">
        <v>83</v>
      </c>
      <c r="B14" s="15">
        <v>7800</v>
      </c>
      <c r="C14" s="9" t="s">
        <v>84</v>
      </c>
    </row>
    <row r="15" spans="1:3" x14ac:dyDescent="0.25">
      <c r="A15" s="22" t="s">
        <v>85</v>
      </c>
      <c r="B15" s="15">
        <v>21000</v>
      </c>
      <c r="C15" s="9" t="s">
        <v>86</v>
      </c>
    </row>
    <row r="16" spans="1:3" x14ac:dyDescent="0.25">
      <c r="A16" s="22" t="s">
        <v>87</v>
      </c>
      <c r="B16" s="15">
        <v>12500</v>
      </c>
      <c r="C16" s="9" t="s">
        <v>88</v>
      </c>
    </row>
    <row r="17" spans="1:2" x14ac:dyDescent="0.25">
      <c r="A17" s="22" t="s">
        <v>89</v>
      </c>
      <c r="B17" s="15">
        <v>5000</v>
      </c>
    </row>
    <row r="18" spans="1:2" x14ac:dyDescent="0.25">
      <c r="A18" s="23" t="s">
        <v>90</v>
      </c>
      <c r="B18" s="15" t="s">
        <v>91</v>
      </c>
    </row>
    <row r="19" spans="1:2" x14ac:dyDescent="0.25">
      <c r="A19" s="22" t="s">
        <v>91</v>
      </c>
      <c r="B19" s="15" t="s">
        <v>91</v>
      </c>
    </row>
    <row r="20" spans="1:2" x14ac:dyDescent="0.25">
      <c r="A20" s="22" t="s">
        <v>91</v>
      </c>
      <c r="B20" s="15" t="s">
        <v>91</v>
      </c>
    </row>
    <row r="21" spans="1:3" x14ac:dyDescent="0.25">
      <c r="A21" s="24" t="s">
        <v>92</v>
      </c>
      <c r="B21" s="25">
        <f>SUM(B6:B20)</f>
      </c>
      <c r="C21" s="9" t="s">
        <v>93</v>
      </c>
    </row>
    <row r="22" spans="1:3" x14ac:dyDescent="0.25">
      <c r="A22" s="5" t="s">
        <v>94</v>
      </c>
      <c r="B22" s="15">
        <v>4</v>
      </c>
      <c r="C22" s="9" t="s">
        <v>95</v>
      </c>
    </row>
    <row r="23" spans="1:3" x14ac:dyDescent="0.25">
      <c r="A23" s="24" t="s">
        <v>96</v>
      </c>
      <c r="B23" s="25">
        <f>IFERROR(B21/B22,"")</f>
      </c>
      <c r="C23" s="9" t="s">
        <v>97</v>
      </c>
    </row>
    <row r="25" ht="30" customHeight="1" spans="1:3" x14ac:dyDescent="0.25">
      <c r="A25" s="9" t="s">
        <v>98</v>
      </c>
      <c r="B25" s="9"/>
      <c r="C25" s="9"/>
    </row>
    <row r="26" ht="30" customHeight="1" spans="1:3" x14ac:dyDescent="0.25">
      <c r="A26" s="9" t="s">
        <v>99</v>
      </c>
      <c r="B26" s="9"/>
      <c r="C26" s="9"/>
    </row>
    <row r="27" ht="30" customHeight="1" spans="1:3" x14ac:dyDescent="0.25">
      <c r="A27" s="9" t="s">
        <v>100</v>
      </c>
      <c r="B27" s="9"/>
      <c r="C27" s="9"/>
    </row>
  </sheetData>
  <mergeCells count="7">
    <mergeCell ref="A2:C2"/>
    <mergeCell ref="A3:C3"/>
    <mergeCell ref="D3:F3"/>
    <mergeCell ref="A4:C4"/>
    <mergeCell ref="A25:C25"/>
    <mergeCell ref="A26:C26"/>
    <mergeCell ref="A27:C27"/>
  </mergeCells>
  <pageMargins left="0.4" right="0.4" top="0.5" bottom="0.5" header="0.3" footer="0.3"/>
  <pageSetup orientation="portrait"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5"/>
  <sheetViews>
    <sheetView workbookViewId="0">
      <pane xSplit="1" ySplit="18" topLeftCell="B19" activePane="bottomRight" state="frozen"/>
      <selection pane="bottomRight"/>
    </sheetView>
  </sheetViews>
  <sheetFormatPr defaultRowHeight="15" outlineLevelRow="0" outlineLevelCol="0" x14ac:dyDescent="55"/>
  <cols>
    <col min="1" max="1" width="46" customWidth="1"/>
    <col min="2" max="4" width="16" customWidth="1"/>
    <col min="5" max="5" width="20" customWidth="1"/>
    <col min="6" max="9" width="15" customWidth="1"/>
    <col min="10" max="12" width="16" customWidth="1"/>
    <col min="13" max="13" width="13" customWidth="1"/>
    <col min="14" max="14" width="34" customWidth="1"/>
  </cols>
  <sheetData>
    <row r="1" spans="1:1" x14ac:dyDescent="0.25">
      <c r="A1" s="8" t="s">
        <v>101</v>
      </c>
    </row>
    <row r="2" ht="26" customHeight="1" spans="1:14" x14ac:dyDescent="0.25">
      <c r="A2" s="9" t="s">
        <v>102</v>
      </c>
      <c r="B2" s="9"/>
      <c r="C2" s="9"/>
      <c r="D2" s="9"/>
      <c r="E2" s="9"/>
      <c r="F2" s="9"/>
      <c r="G2" s="9"/>
      <c r="H2" s="9"/>
      <c r="I2" s="9"/>
      <c r="J2" s="9"/>
      <c r="K2" s="9"/>
      <c r="L2" s="9"/>
      <c r="M2" s="9"/>
      <c r="N2" s="9"/>
    </row>
    <row r="3" spans="1:6" x14ac:dyDescent="0.25">
      <c r="A3" s="3" t="s">
        <v>2</v>
      </c>
      <c r="B3" s="3"/>
      <c r="C3" s="3"/>
      <c r="D3" s="4" t="s">
        <v>3</v>
      </c>
      <c r="E3" s="4"/>
      <c r="F3" s="4"/>
    </row>
    <row r="4" spans="1:14" x14ac:dyDescent="0.25">
      <c r="A4" s="10" t="s">
        <v>20</v>
      </c>
      <c r="B4" s="10"/>
      <c r="C4" s="10"/>
      <c r="D4" s="10"/>
      <c r="E4" s="10"/>
      <c r="F4" s="10"/>
      <c r="G4" s="10"/>
      <c r="H4" s="10"/>
      <c r="I4" s="10"/>
      <c r="J4" s="10"/>
      <c r="K4" s="10"/>
      <c r="L4" s="10"/>
      <c r="M4" s="10"/>
      <c r="N4" s="10"/>
    </row>
    <row r="5" ht="30" customHeight="1" spans="1:3" x14ac:dyDescent="0.25">
      <c r="A5" s="11" t="s">
        <v>103</v>
      </c>
      <c r="B5" s="11" t="s">
        <v>22</v>
      </c>
      <c r="C5" s="11" t="s">
        <v>23</v>
      </c>
    </row>
    <row r="6" ht="26" customHeight="1" spans="1:8" x14ac:dyDescent="0.25">
      <c r="A6" s="5" t="s">
        <v>104</v>
      </c>
      <c r="B6" s="14">
        <f>'Loaded rate'!B16</f>
      </c>
      <c r="C6" s="9" t="s">
        <v>105</v>
      </c>
      <c r="D6" s="9"/>
      <c r="E6" s="9"/>
      <c r="F6" s="9"/>
      <c r="G6" s="9"/>
      <c r="H6" s="9"/>
    </row>
    <row r="7" ht="26" customHeight="1" spans="1:8" x14ac:dyDescent="0.25">
      <c r="A7" s="5" t="s">
        <v>106</v>
      </c>
      <c r="B7" s="14">
        <f>'Loaded rate'!B17</f>
      </c>
      <c r="C7" s="9" t="s">
        <v>107</v>
      </c>
      <c r="D7" s="9"/>
      <c r="E7" s="9"/>
      <c r="F7" s="9"/>
      <c r="G7" s="9"/>
      <c r="H7" s="9"/>
    </row>
    <row r="8" spans="1:2" x14ac:dyDescent="0.25">
      <c r="A8" s="5" t="s">
        <v>108</v>
      </c>
      <c r="B8" s="17">
        <f>'Overhead build'!B21</f>
      </c>
    </row>
    <row r="9" ht="26" customHeight="1" spans="1:8" x14ac:dyDescent="0.25">
      <c r="A9" s="5" t="s">
        <v>109</v>
      </c>
      <c r="B9" s="13">
        <v>0</v>
      </c>
      <c r="C9" s="9" t="s">
        <v>110</v>
      </c>
      <c r="D9" s="9"/>
      <c r="E9" s="9"/>
      <c r="F9" s="9"/>
      <c r="G9" s="9"/>
      <c r="H9" s="9"/>
    </row>
    <row r="10" ht="26" customHeight="1" spans="1:8" x14ac:dyDescent="0.25">
      <c r="A10" s="5" t="s">
        <v>111</v>
      </c>
      <c r="B10" s="13">
        <v>30</v>
      </c>
      <c r="C10" s="9" t="s">
        <v>112</v>
      </c>
      <c r="D10" s="9"/>
      <c r="E10" s="9"/>
      <c r="F10" s="9"/>
      <c r="G10" s="9"/>
      <c r="H10" s="9"/>
    </row>
    <row r="11" ht="26" customHeight="1" spans="1:8" x14ac:dyDescent="0.25">
      <c r="A11" s="5" t="s">
        <v>113</v>
      </c>
      <c r="B11" s="14">
        <f>IFERROR(SUM(H19:H26)/SUM(B19:B26),"")</f>
      </c>
      <c r="C11" s="9" t="s">
        <v>114</v>
      </c>
      <c r="D11" s="9"/>
      <c r="E11" s="9"/>
      <c r="F11" s="9"/>
      <c r="G11" s="9"/>
      <c r="H11" s="9"/>
    </row>
    <row r="12" ht="26" customHeight="1" spans="1:8" x14ac:dyDescent="0.25">
      <c r="A12" s="5" t="s">
        <v>115</v>
      </c>
      <c r="B12" s="25">
        <f>IF(B11&lt;=B7,"",IFERROR(B8/(B11-B7),""))</f>
      </c>
      <c r="C12" s="26">
        <f>IF(B11&lt;=B7,"No crossover — at these rates a vendor is cheaper at every volume","Below this many billable hours a year, the fixed overhead of the shop has nothing to spread over")</f>
      </c>
      <c r="D12" s="26"/>
      <c r="E12" s="26"/>
      <c r="F12" s="26"/>
      <c r="G12" s="26"/>
      <c r="H12" s="26"/>
    </row>
    <row r="13" spans="1:2" x14ac:dyDescent="0.25">
      <c r="A13" s="5" t="s">
        <v>116</v>
      </c>
      <c r="B13" s="17">
        <f>'Loaded rate'!B12*'Overhead build'!B22</f>
      </c>
    </row>
    <row r="14" ht="26" customHeight="1" spans="1:8" x14ac:dyDescent="0.25">
      <c r="A14" s="5" t="s">
        <v>117</v>
      </c>
      <c r="B14" s="17">
        <f>IFERROR(B13-B12,"")</f>
      </c>
      <c r="C14" s="9" t="s">
        <v>118</v>
      </c>
      <c r="D14" s="9"/>
      <c r="E14" s="9"/>
      <c r="F14" s="9"/>
      <c r="G14" s="9"/>
      <c r="H14" s="9"/>
    </row>
    <row r="16" spans="1:1" x14ac:dyDescent="0.25">
      <c r="A16" s="20" t="s">
        <v>119</v>
      </c>
    </row>
    <row r="17" ht="30" customHeight="1" spans="1:14" x14ac:dyDescent="0.25">
      <c r="A17" s="9" t="s">
        <v>120</v>
      </c>
      <c r="B17" s="9"/>
      <c r="C17" s="9"/>
      <c r="D17" s="9"/>
      <c r="E17" s="9"/>
      <c r="F17" s="9"/>
      <c r="G17" s="9"/>
      <c r="H17" s="9"/>
      <c r="I17" s="9"/>
      <c r="J17" s="9"/>
      <c r="K17" s="9"/>
      <c r="L17" s="9"/>
      <c r="M17" s="9"/>
      <c r="N17" s="9"/>
    </row>
    <row r="18" ht="30" customHeight="1" spans="1:14" x14ac:dyDescent="0.25">
      <c r="A18" s="11" t="s">
        <v>121</v>
      </c>
      <c r="B18" s="11" t="s">
        <v>122</v>
      </c>
      <c r="C18" s="11" t="s">
        <v>123</v>
      </c>
      <c r="D18" s="11" t="s">
        <v>124</v>
      </c>
      <c r="E18" s="11" t="s">
        <v>125</v>
      </c>
      <c r="F18" s="11" t="s">
        <v>126</v>
      </c>
      <c r="G18" s="11" t="s">
        <v>127</v>
      </c>
      <c r="H18" s="11" t="s">
        <v>128</v>
      </c>
      <c r="I18" s="11" t="s">
        <v>129</v>
      </c>
      <c r="J18" s="11" t="s">
        <v>130</v>
      </c>
      <c r="K18" s="11" t="s">
        <v>131</v>
      </c>
      <c r="L18" s="11" t="s">
        <v>132</v>
      </c>
      <c r="M18" s="11" t="s">
        <v>133</v>
      </c>
      <c r="N18" s="11" t="s">
        <v>134</v>
      </c>
    </row>
    <row r="19" spans="1:14" x14ac:dyDescent="0.25">
      <c r="A19" s="22" t="s">
        <v>135</v>
      </c>
      <c r="B19" s="15">
        <v>2100</v>
      </c>
      <c r="C19" s="15">
        <v>118000</v>
      </c>
      <c r="D19" s="12">
        <v>163</v>
      </c>
      <c r="E19" s="15">
        <v>0</v>
      </c>
      <c r="F19" s="17">
        <f>B19*$B$6</f>
      </c>
      <c r="G19" s="17">
        <f>C19*(1+$B$9/100)</f>
      </c>
      <c r="H19" s="17">
        <f>B19*D19</f>
      </c>
      <c r="I19" s="17">
        <f>C19*(1+$B$10/100)</f>
      </c>
      <c r="J19" s="17">
        <f>F19+G19+E19</f>
      </c>
      <c r="K19" s="17">
        <f>H19+I19</f>
      </c>
      <c r="L19" s="17">
        <f>K19-J19</f>
      </c>
      <c r="M19" s="19">
        <f>IFERROR(L19/J19,"")</f>
      </c>
      <c r="N19" s="26">
        <f>IF(J19=0,"",IF(ABS(L19)/J19&lt;0.05,"Too close to call on cost",IF(L19&gt;0,"Keep in-house","Outsource on cost")))</f>
      </c>
    </row>
    <row r="20" spans="1:14" x14ac:dyDescent="0.25">
      <c r="A20" s="22" t="s">
        <v>136</v>
      </c>
      <c r="B20" s="15">
        <v>900</v>
      </c>
      <c r="C20" s="15">
        <v>86000</v>
      </c>
      <c r="D20" s="12">
        <v>163</v>
      </c>
      <c r="E20" s="15">
        <v>0</v>
      </c>
      <c r="F20" s="17">
        <f>B20*$B$6</f>
      </c>
      <c r="G20" s="17">
        <f>C20*(1+$B$9/100)</f>
      </c>
      <c r="H20" s="17">
        <f>B20*D20</f>
      </c>
      <c r="I20" s="17">
        <f>C20*(1+$B$10/100)</f>
      </c>
      <c r="J20" s="17">
        <f>F20+G20+E20</f>
      </c>
      <c r="K20" s="17">
        <f>H20+I20</f>
      </c>
      <c r="L20" s="17">
        <f>K20-J20</f>
      </c>
      <c r="M20" s="19">
        <f>IFERROR(L20/J20,"")</f>
      </c>
      <c r="N20" s="26">
        <f>IF(J20=0,"",IF(ABS(L20)/J20&lt;0.05,"Too close to call on cost",IF(L20&gt;0,"Keep in-house","Outsource on cost")))</f>
      </c>
    </row>
    <row r="21" spans="1:14" x14ac:dyDescent="0.25">
      <c r="A21" s="22" t="s">
        <v>137</v>
      </c>
      <c r="B21" s="15">
        <v>620</v>
      </c>
      <c r="C21" s="15">
        <v>41000</v>
      </c>
      <c r="D21" s="12">
        <v>165</v>
      </c>
      <c r="E21" s="15">
        <v>0</v>
      </c>
      <c r="F21" s="17">
        <f>B21*$B$6</f>
      </c>
      <c r="G21" s="17">
        <f>C21*(1+$B$9/100)</f>
      </c>
      <c r="H21" s="17">
        <f>B21*D21</f>
      </c>
      <c r="I21" s="17">
        <f>C21*(1+$B$10/100)</f>
      </c>
      <c r="J21" s="17">
        <f>F21+G21+E21</f>
      </c>
      <c r="K21" s="17">
        <f>H21+I21</f>
      </c>
      <c r="L21" s="17">
        <f>K21-J21</f>
      </c>
      <c r="M21" s="19">
        <f>IFERROR(L21/J21,"")</f>
      </c>
      <c r="N21" s="26">
        <f>IF(J21=0,"",IF(ABS(L21)/J21&lt;0.05,"Too close to call on cost",IF(L21&gt;0,"Keep in-house","Outsource on cost")))</f>
      </c>
    </row>
    <row r="22" spans="1:14" x14ac:dyDescent="0.25">
      <c r="A22" s="22" t="s">
        <v>138</v>
      </c>
      <c r="B22" s="15">
        <v>780</v>
      </c>
      <c r="C22" s="15">
        <v>164000</v>
      </c>
      <c r="D22" s="12">
        <v>198</v>
      </c>
      <c r="E22" s="15">
        <v>130000</v>
      </c>
      <c r="F22" s="17">
        <f>B22*$B$6</f>
      </c>
      <c r="G22" s="17">
        <f>C22*(1+$B$9/100)</f>
      </c>
      <c r="H22" s="17">
        <f>B22*D22</f>
      </c>
      <c r="I22" s="17">
        <f>C22*(1+$B$10/100)</f>
      </c>
      <c r="J22" s="17">
        <f>F22+G22+E22</f>
      </c>
      <c r="K22" s="17">
        <f>H22+I22</f>
      </c>
      <c r="L22" s="17">
        <f>K22-J22</f>
      </c>
      <c r="M22" s="19">
        <f>IFERROR(L22/J22,"")</f>
      </c>
      <c r="N22" s="26">
        <f>IF(J22=0,"",IF(ABS(L22)/J22&lt;0.05,"Too close to call on cost",IF(L22&gt;0,"Keep in-house","Outsource on cost")))</f>
      </c>
    </row>
    <row r="23" spans="1:14" x14ac:dyDescent="0.25">
      <c r="A23" s="22" t="s">
        <v>139</v>
      </c>
      <c r="B23" s="15">
        <v>260</v>
      </c>
      <c r="C23" s="15">
        <v>58000</v>
      </c>
      <c r="D23" s="12">
        <v>165</v>
      </c>
      <c r="E23" s="15">
        <v>85000</v>
      </c>
      <c r="F23" s="17">
        <f>B23*$B$6</f>
      </c>
      <c r="G23" s="17">
        <f>C23*(1+$B$9/100)</f>
      </c>
      <c r="H23" s="17">
        <f>B23*D23</f>
      </c>
      <c r="I23" s="17">
        <f>C23*(1+$B$10/100)</f>
      </c>
      <c r="J23" s="17">
        <f>F23+G23+E23</f>
      </c>
      <c r="K23" s="17">
        <f>H23+I23</f>
      </c>
      <c r="L23" s="17">
        <f>K23-J23</f>
      </c>
      <c r="M23" s="19">
        <f>IFERROR(L23/J23,"")</f>
      </c>
      <c r="N23" s="26">
        <f>IF(J23=0,"",IF(ABS(L23)/J23&lt;0.05,"Too close to call on cost",IF(L23&gt;0,"Keep in-house","Outsource on cost")))</f>
      </c>
    </row>
    <row r="24" spans="1:14" x14ac:dyDescent="0.25">
      <c r="A24" s="22" t="s">
        <v>140</v>
      </c>
      <c r="B24" s="15">
        <v>420</v>
      </c>
      <c r="C24" s="15">
        <v>96000</v>
      </c>
      <c r="D24" s="12">
        <v>110</v>
      </c>
      <c r="E24" s="15">
        <v>28000</v>
      </c>
      <c r="F24" s="17">
        <f>B24*$B$6</f>
      </c>
      <c r="G24" s="17">
        <f>C24*(1+$B$9/100)</f>
      </c>
      <c r="H24" s="17">
        <f>B24*D24</f>
      </c>
      <c r="I24" s="17">
        <f>C24*(1+$B$10/100)</f>
      </c>
      <c r="J24" s="17">
        <f>F24+G24+E24</f>
      </c>
      <c r="K24" s="17">
        <f>H24+I24</f>
      </c>
      <c r="L24" s="17">
        <f>K24-J24</f>
      </c>
      <c r="M24" s="19">
        <f>IFERROR(L24/J24,"")</f>
      </c>
      <c r="N24" s="26">
        <f>IF(J24=0,"",IF(ABS(L24)/J24&lt;0.05,"Too close to call on cost",IF(L24&gt;0,"Keep in-house","Outsource on cost")))</f>
      </c>
    </row>
    <row r="25" spans="1:14" x14ac:dyDescent="0.25">
      <c r="A25" s="22" t="s">
        <v>141</v>
      </c>
      <c r="B25" s="15">
        <v>140</v>
      </c>
      <c r="C25" s="15">
        <v>12000</v>
      </c>
      <c r="D25" s="12">
        <v>198</v>
      </c>
      <c r="E25" s="15">
        <v>38000</v>
      </c>
      <c r="F25" s="17">
        <f>B25*$B$6</f>
      </c>
      <c r="G25" s="17">
        <f>C25*(1+$B$9/100)</f>
      </c>
      <c r="H25" s="17">
        <f>B25*D25</f>
      </c>
      <c r="I25" s="17">
        <f>C25*(1+$B$10/100)</f>
      </c>
      <c r="J25" s="17">
        <f>F25+G25+E25</f>
      </c>
      <c r="K25" s="17">
        <f>H25+I25</f>
      </c>
      <c r="L25" s="17">
        <f>K25-J25</f>
      </c>
      <c r="M25" s="19">
        <f>IFERROR(L25/J25,"")</f>
      </c>
      <c r="N25" s="26">
        <f>IF(J25=0,"",IF(ABS(L25)/J25&lt;0.05,"Too close to call on cost",IF(L25&gt;0,"Keep in-house","Outsource on cost")))</f>
      </c>
    </row>
    <row r="26" spans="1:14" x14ac:dyDescent="0.25">
      <c r="A26" s="22" t="s">
        <v>142</v>
      </c>
      <c r="B26" s="15">
        <v>180</v>
      </c>
      <c r="C26" s="15">
        <v>0</v>
      </c>
      <c r="D26" s="12">
        <v>0</v>
      </c>
      <c r="E26" s="15">
        <v>0</v>
      </c>
      <c r="F26" s="17">
        <f>B26*$B$6</f>
      </c>
      <c r="G26" s="17">
        <f>C26*(1+$B$9/100)</f>
      </c>
      <c r="H26" s="17">
        <f>B26*D26</f>
      </c>
      <c r="I26" s="17">
        <f>C26*(1+$B$10/100)</f>
      </c>
      <c r="J26" s="17">
        <f>F26+G26+E26</f>
      </c>
      <c r="K26" s="17">
        <f>H26+I26</f>
      </c>
      <c r="L26" s="17">
        <f>K26-J26</f>
      </c>
      <c r="M26" s="19">
        <f>IFERROR(L26/J26,"")</f>
      </c>
      <c r="N26" s="26">
        <f>IF(J26=0,"",IF(ABS(L26)/J26&lt;0.05,"Too close to call on cost",IF(L26&gt;0,"Keep in-house","Outsource on cost")))</f>
      </c>
    </row>
    <row r="27" spans="1:13" x14ac:dyDescent="0.25">
      <c r="A27" s="24" t="s">
        <v>143</v>
      </c>
      <c r="B27" s="17">
        <f>SUM(B19:B26)</f>
      </c>
      <c r="C27" s="17">
        <f>SUM(C19:C26)</f>
      </c>
      <c r="E27" s="17">
        <f>SUM(E19:E26)</f>
      </c>
      <c r="F27" s="17">
        <f>SUM(F19:F26)</f>
      </c>
      <c r="G27" s="17">
        <f>SUM(G19:G26)</f>
      </c>
      <c r="H27" s="17">
        <f>SUM(H19:H26)</f>
      </c>
      <c r="I27" s="17">
        <f>SUM(I19:I26)</f>
      </c>
      <c r="J27" s="25">
        <f>SUM(J19:J26)</f>
      </c>
      <c r="K27" s="25">
        <f>SUM(K19:K26)</f>
      </c>
      <c r="L27" s="25">
        <f>SUM(L19:L26)</f>
      </c>
      <c r="M27" s="19">
        <f>IFERROR(L27/J27,"")</f>
      </c>
    </row>
    <row r="29" spans="1:1" x14ac:dyDescent="0.25">
      <c r="A29" s="20" t="s">
        <v>144</v>
      </c>
    </row>
    <row r="30" ht="44" customHeight="1" spans="1:14" x14ac:dyDescent="0.25">
      <c r="A30" s="9" t="s">
        <v>145</v>
      </c>
      <c r="B30" s="9"/>
      <c r="C30" s="9"/>
      <c r="D30" s="9"/>
      <c r="E30" s="9"/>
      <c r="F30" s="9"/>
      <c r="G30" s="9"/>
      <c r="H30" s="9"/>
      <c r="I30" s="9"/>
      <c r="J30" s="9"/>
      <c r="K30" s="9"/>
      <c r="L30" s="9"/>
      <c r="M30" s="9"/>
      <c r="N30" s="9"/>
    </row>
    <row r="31" ht="30" customHeight="1" spans="1:4" x14ac:dyDescent="0.25">
      <c r="A31" s="11" t="s">
        <v>146</v>
      </c>
      <c r="B31" s="11" t="s">
        <v>147</v>
      </c>
      <c r="C31" s="11" t="s">
        <v>148</v>
      </c>
      <c r="D31" s="11" t="s">
        <v>149</v>
      </c>
    </row>
    <row r="32" spans="1:4" x14ac:dyDescent="0.25">
      <c r="A32" s="22" t="s">
        <v>150</v>
      </c>
      <c r="B32" s="15">
        <v>60</v>
      </c>
      <c r="C32" s="13">
        <v>1</v>
      </c>
      <c r="D32" s="16">
        <f>B32*C32</f>
      </c>
    </row>
    <row r="33" spans="1:4" x14ac:dyDescent="0.25">
      <c r="A33" s="22" t="s">
        <v>151</v>
      </c>
      <c r="B33" s="15">
        <v>90</v>
      </c>
      <c r="C33" s="13">
        <v>1.5</v>
      </c>
      <c r="D33" s="16">
        <f>B33*C33</f>
      </c>
    </row>
    <row r="34" spans="1:4" x14ac:dyDescent="0.25">
      <c r="A34" s="22" t="s">
        <v>152</v>
      </c>
      <c r="B34" s="15">
        <v>30</v>
      </c>
      <c r="C34" s="13">
        <v>3</v>
      </c>
      <c r="D34" s="16">
        <f>B34*C34</f>
      </c>
    </row>
    <row r="35" spans="1:4" x14ac:dyDescent="0.25">
      <c r="A35" s="22" t="s">
        <v>153</v>
      </c>
      <c r="B35" s="15">
        <v>12</v>
      </c>
      <c r="C35" s="13">
        <v>5</v>
      </c>
      <c r="D35" s="16">
        <f>B35*C35</f>
      </c>
    </row>
    <row r="36" spans="1:4" x14ac:dyDescent="0.25">
      <c r="A36" s="22" t="s">
        <v>154</v>
      </c>
      <c r="B36" s="15">
        <v>8</v>
      </c>
      <c r="C36" s="13">
        <v>10</v>
      </c>
      <c r="D36" s="16">
        <f>B36*C36</f>
      </c>
    </row>
    <row r="37" spans="1:4" x14ac:dyDescent="0.25">
      <c r="A37" s="22" t="s">
        <v>155</v>
      </c>
      <c r="B37" s="15">
        <v>60</v>
      </c>
      <c r="C37" s="13">
        <v>0.5</v>
      </c>
      <c r="D37" s="16">
        <f>B37*C37</f>
      </c>
    </row>
    <row r="38" spans="1:4" x14ac:dyDescent="0.25">
      <c r="A38" s="24" t="s">
        <v>156</v>
      </c>
      <c r="D38" s="27">
        <f>SUM(D32:D37)</f>
      </c>
    </row>
    <row r="39" spans="1:2" x14ac:dyDescent="0.25">
      <c r="A39" s="5" t="s">
        <v>94</v>
      </c>
      <c r="B39" s="17">
        <f>'Overhead build'!B22</f>
      </c>
    </row>
    <row r="40" spans="1:2" x14ac:dyDescent="0.25">
      <c r="A40" s="5" t="s">
        <v>157</v>
      </c>
      <c r="B40" s="16">
        <f>IFERROR($D$38/B39,"")</f>
      </c>
    </row>
    <row r="41" spans="1:2" x14ac:dyDescent="0.25">
      <c r="A41" s="5" t="s">
        <v>158</v>
      </c>
      <c r="B41" s="17">
        <v>120</v>
      </c>
    </row>
    <row r="42" spans="1:2" x14ac:dyDescent="0.25">
      <c r="A42" s="5" t="s">
        <v>159</v>
      </c>
      <c r="B42" s="14">
        <f>IFERROR($D$38/B41,"")</f>
      </c>
    </row>
    <row r="43" ht="26" customHeight="1" spans="1:5" x14ac:dyDescent="0.25">
      <c r="A43" s="5" t="s">
        <v>160</v>
      </c>
      <c r="B43" s="28">
        <f>IF($D$38&lt;100,"Under ~100 VEU, one full-time technician is hard to justify",IF($D$38&lt;=250,"100–250 VEU is the difficult range — any absence puts you back with a vendor","Above ~250 VEU you can staff to a schedule"))</f>
      </c>
      <c r="C43" s="28"/>
      <c r="D43" s="28"/>
      <c r="E43" s="28"/>
    </row>
    <row r="45" ht="44" customHeight="1" spans="1:14" x14ac:dyDescent="0.25">
      <c r="A45" s="9" t="s">
        <v>161</v>
      </c>
      <c r="B45" s="9"/>
      <c r="C45" s="9"/>
      <c r="D45" s="9"/>
      <c r="E45" s="9"/>
      <c r="F45" s="9"/>
      <c r="G45" s="9"/>
      <c r="H45" s="9"/>
      <c r="I45" s="9"/>
      <c r="J45" s="9"/>
      <c r="K45" s="9"/>
      <c r="L45" s="9"/>
      <c r="M45" s="9"/>
      <c r="N45" s="9"/>
    </row>
  </sheetData>
  <mergeCells count="15">
    <mergeCell ref="A2:N2"/>
    <mergeCell ref="A3:C3"/>
    <mergeCell ref="D3:F3"/>
    <mergeCell ref="A4:N4"/>
    <mergeCell ref="C6:H6"/>
    <mergeCell ref="C7:H7"/>
    <mergeCell ref="C9:H9"/>
    <mergeCell ref="C10:H10"/>
    <mergeCell ref="C11:H11"/>
    <mergeCell ref="C12:H12"/>
    <mergeCell ref="C14:H14"/>
    <mergeCell ref="A17:N17"/>
    <mergeCell ref="A30:N30"/>
    <mergeCell ref="B43:E43"/>
    <mergeCell ref="A45:N45"/>
  </mergeCells>
  <conditionalFormatting sqref="L19:L26">
    <cfRule type="cellIs" dxfId="1" priority="1" operator="lessThan">
      <formula>0</formula>
    </cfRule>
  </conditionalFormatting>
  <pageMargins left="0.4" right="0.4" top="0.5" bottom="0.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workbookViewId="0">
      <pane xSplit="1" ySplit="5" topLeftCell="B6" activePane="bottomRight" state="frozen"/>
      <selection pane="bottomRight"/>
    </sheetView>
  </sheetViews>
  <sheetFormatPr defaultRowHeight="15" outlineLevelRow="0" outlineLevelCol="0" x14ac:dyDescent="55"/>
  <cols>
    <col min="1" max="1" width="30" customWidth="1"/>
    <col min="2" max="2" width="12" customWidth="1"/>
    <col min="3" max="3" width="28" customWidth="1"/>
    <col min="4" max="4" width="24" customWidth="1"/>
    <col min="5" max="5" width="52" customWidth="1"/>
    <col min="6" max="6" width="12" customWidth="1"/>
  </cols>
  <sheetData>
    <row r="1" spans="1:1" x14ac:dyDescent="0.25">
      <c r="A1" s="8" t="s">
        <v>162</v>
      </c>
    </row>
    <row r="2" ht="26" customHeight="1" spans="1:6" x14ac:dyDescent="0.25">
      <c r="A2" s="9" t="s">
        <v>163</v>
      </c>
      <c r="B2" s="9"/>
      <c r="C2" s="9"/>
      <c r="D2" s="9"/>
      <c r="E2" s="9"/>
      <c r="F2" s="9"/>
    </row>
    <row r="3" spans="1:6" x14ac:dyDescent="0.25">
      <c r="A3" s="3" t="s">
        <v>2</v>
      </c>
      <c r="B3" s="3"/>
      <c r="C3" s="3"/>
      <c r="D3" s="4" t="s">
        <v>3</v>
      </c>
      <c r="E3" s="4"/>
      <c r="F3" s="4"/>
    </row>
    <row r="4" spans="1:6" x14ac:dyDescent="0.25">
      <c r="A4" s="10" t="s">
        <v>20</v>
      </c>
      <c r="B4" s="10"/>
      <c r="C4" s="10"/>
      <c r="D4" s="10"/>
      <c r="E4" s="10"/>
      <c r="F4" s="10"/>
    </row>
    <row r="5" ht="30" customHeight="1" spans="1:6" x14ac:dyDescent="0.25">
      <c r="A5" s="11" t="s">
        <v>121</v>
      </c>
      <c r="B5" s="11" t="s">
        <v>122</v>
      </c>
      <c r="C5" s="11" t="s">
        <v>134</v>
      </c>
      <c r="D5" s="11" t="s">
        <v>164</v>
      </c>
      <c r="E5" s="11" t="s">
        <v>165</v>
      </c>
      <c r="F5" s="11" t="s">
        <v>166</v>
      </c>
    </row>
    <row r="6" ht="30" customHeight="1" spans="1:6" x14ac:dyDescent="0.25">
      <c r="A6" s="29">
        <f>'Break-even'!A19</f>
      </c>
      <c r="B6" s="17">
        <f>'Break-even'!B19</f>
      </c>
      <c r="C6" s="26">
        <f>'Break-even'!N19</f>
      </c>
      <c r="D6" s="30" t="s">
        <v>167</v>
      </c>
      <c r="E6" s="31" t="s">
        <v>168</v>
      </c>
      <c r="F6" s="17">
        <f>IF(D6="Outsource",0,B6)</f>
      </c>
    </row>
    <row r="7" ht="30" customHeight="1" spans="1:6" x14ac:dyDescent="0.25">
      <c r="A7" s="29">
        <f>'Break-even'!A20</f>
      </c>
      <c r="B7" s="17">
        <f>'Break-even'!B20</f>
      </c>
      <c r="C7" s="26">
        <f>'Break-even'!N20</f>
      </c>
      <c r="D7" s="30" t="s">
        <v>167</v>
      </c>
      <c r="E7" s="31" t="s">
        <v>169</v>
      </c>
      <c r="F7" s="17">
        <f>IF(D7="Outsource",0,B7)</f>
      </c>
    </row>
    <row r="8" ht="30" customHeight="1" spans="1:6" x14ac:dyDescent="0.25">
      <c r="A8" s="29">
        <f>'Break-even'!A21</f>
      </c>
      <c r="B8" s="17">
        <f>'Break-even'!B21</f>
      </c>
      <c r="C8" s="26">
        <f>'Break-even'!N21</f>
      </c>
      <c r="D8" s="30" t="s">
        <v>167</v>
      </c>
      <c r="E8" s="31" t="s">
        <v>170</v>
      </c>
      <c r="F8" s="17">
        <f>IF(D8="Outsource",0,B8)</f>
      </c>
    </row>
    <row r="9" ht="30" customHeight="1" spans="1:6" x14ac:dyDescent="0.25">
      <c r="A9" s="29">
        <f>'Break-even'!A22</f>
      </c>
      <c r="B9" s="17">
        <f>'Break-even'!B22</f>
      </c>
      <c r="C9" s="26">
        <f>'Break-even'!N22</f>
      </c>
      <c r="D9" s="30" t="s">
        <v>171</v>
      </c>
      <c r="E9" s="31" t="s">
        <v>172</v>
      </c>
      <c r="F9" s="17">
        <f>IF(D9="Outsource",0,B9)</f>
      </c>
    </row>
    <row r="10" ht="30" customHeight="1" spans="1:6" x14ac:dyDescent="0.25">
      <c r="A10" s="29">
        <f>'Break-even'!A23</f>
      </c>
      <c r="B10" s="17">
        <f>'Break-even'!B23</f>
      </c>
      <c r="C10" s="26">
        <f>'Break-even'!N23</f>
      </c>
      <c r="D10" s="30" t="s">
        <v>171</v>
      </c>
      <c r="E10" s="31" t="s">
        <v>173</v>
      </c>
      <c r="F10" s="17">
        <f>IF(D10="Outsource",0,B10)</f>
      </c>
    </row>
    <row r="11" ht="30" customHeight="1" spans="1:6" x14ac:dyDescent="0.25">
      <c r="A11" s="29">
        <f>'Break-even'!A24</f>
      </c>
      <c r="B11" s="17">
        <f>'Break-even'!B24</f>
      </c>
      <c r="C11" s="26">
        <f>'Break-even'!N24</f>
      </c>
      <c r="D11" s="30" t="s">
        <v>167</v>
      </c>
      <c r="E11" s="31" t="s">
        <v>174</v>
      </c>
      <c r="F11" s="17">
        <f>IF(D11="Outsource",0,B11)</f>
      </c>
    </row>
    <row r="12" ht="30" customHeight="1" spans="1:6" x14ac:dyDescent="0.25">
      <c r="A12" s="29">
        <f>'Break-even'!A25</f>
      </c>
      <c r="B12" s="17">
        <f>'Break-even'!B25</f>
      </c>
      <c r="C12" s="26">
        <f>'Break-even'!N25</f>
      </c>
      <c r="D12" s="30" t="s">
        <v>171</v>
      </c>
      <c r="E12" s="31" t="s">
        <v>175</v>
      </c>
      <c r="F12" s="17">
        <f>IF(D12="Outsource",0,B12)</f>
      </c>
    </row>
    <row r="13" ht="30" customHeight="1" spans="1:6" x14ac:dyDescent="0.25">
      <c r="A13" s="29">
        <f>'Break-even'!A26</f>
      </c>
      <c r="B13" s="17">
        <f>'Break-even'!B26</f>
      </c>
      <c r="C13" s="26">
        <f>'Break-even'!N26</f>
      </c>
      <c r="D13" s="30" t="s">
        <v>171</v>
      </c>
      <c r="E13" s="31" t="s">
        <v>176</v>
      </c>
      <c r="F13" s="17">
        <f>IF(D13="Outsource",0,B13)</f>
      </c>
    </row>
    <row r="15" spans="1:1" x14ac:dyDescent="0.25">
      <c r="A15" s="20" t="s">
        <v>177</v>
      </c>
    </row>
    <row r="16" spans="1:2" x14ac:dyDescent="0.25">
      <c r="A16" s="5" t="s">
        <v>166</v>
      </c>
      <c r="B16" s="17">
        <f>SUM(F6:F13)</f>
      </c>
    </row>
    <row r="17" spans="1:2" x14ac:dyDescent="0.25">
      <c r="A17" s="5" t="s">
        <v>178</v>
      </c>
      <c r="B17" s="17">
        <f>'Loaded rate'!B12*'Overhead build'!B22</f>
      </c>
    </row>
    <row r="18" spans="1:2" x14ac:dyDescent="0.25">
      <c r="A18" s="5" t="s">
        <v>179</v>
      </c>
      <c r="B18" s="17">
        <f>B17-B16</f>
      </c>
    </row>
    <row r="19" spans="1:2" x14ac:dyDescent="0.25">
      <c r="A19" s="5" t="s">
        <v>180</v>
      </c>
      <c r="B19" s="19">
        <f>IFERROR(B16/('Loaded rate'!B10*'Overhead build'!B22),"")</f>
      </c>
    </row>
    <row r="20" spans="1:2" x14ac:dyDescent="0.25">
      <c r="A20" s="24" t="s">
        <v>181</v>
      </c>
      <c r="B20" s="18">
        <f>IFERROR('Loaded rate'!B15*'Overhead build'!B22/B16,"")</f>
      </c>
    </row>
    <row r="21" spans="1:2" x14ac:dyDescent="0.25">
      <c r="A21" s="5" t="s">
        <v>182</v>
      </c>
      <c r="B21" s="14">
        <f>IFERROR(B20-'Loaded rate'!B16,"")</f>
      </c>
    </row>
    <row r="22" ht="26" customHeight="1" spans="1:5" x14ac:dyDescent="0.25">
      <c r="A22" s="5" t="s">
        <v>183</v>
      </c>
      <c r="B22" s="28">
        <f>IF(B18&lt;0,"Deficit — this plan needs more technicians, more overtime, or more work going out",IF(B18&gt;'Loaded rate'!B12*0.25,"Surplus — you are carrying idle capacity, and the rate on the Loaded rate sheet is optimistic","Fits current capacity"))</f>
      </c>
      <c r="C22" s="28"/>
      <c r="D22" s="28"/>
      <c r="E22" s="28"/>
    </row>
    <row r="24" ht="58" customHeight="1" spans="1:6" x14ac:dyDescent="0.25">
      <c r="A24" s="9" t="s">
        <v>184</v>
      </c>
      <c r="B24" s="9"/>
      <c r="C24" s="9"/>
      <c r="D24" s="9"/>
      <c r="E24" s="9"/>
      <c r="F24" s="9"/>
    </row>
  </sheetData>
  <mergeCells count="6">
    <mergeCell ref="A2:F2"/>
    <mergeCell ref="A3:C3"/>
    <mergeCell ref="D3:F3"/>
    <mergeCell ref="A4:F4"/>
    <mergeCell ref="B22:E22"/>
    <mergeCell ref="A24:F24"/>
  </mergeCells>
  <dataValidations count="2">
    <dataValidation type="list" showErrorMessage="1" errorTitle="Pick one" error="Allowed: Keep in-house, Outsource, Overflow to vendor above capacity" sqref="D10:D13">
      <formula1>"Keep in-house,Outsource,Overflow to vendor above capacity"</formula1>
    </dataValidation>
    <dataValidation type="list" showErrorMessage="1" errorTitle="Pick one" error="Allowed: Keep in-house, Outsource, Overflow to vendor above capacity" sqref="D6:D13">
      <formula1>"Keep in-house,Outsource,Overflow to vendor above capacity"</formula1>
    </dataValidation>
  </dataValidations>
  <pageMargins left="0.4" right="0.4" top="0.5" bottom="0.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xSplit="1" ySplit="5" topLeftCell="B6" activePane="bottomRight" state="frozen"/>
      <selection pane="bottomRight"/>
    </sheetView>
  </sheetViews>
  <sheetFormatPr defaultRowHeight="15" outlineLevelRow="0" outlineLevelCol="0" x14ac:dyDescent="55"/>
  <cols>
    <col min="1" max="1" width="40" customWidth="1"/>
    <col min="2" max="2" width="10" customWidth="1"/>
    <col min="3" max="7" width="12" customWidth="1"/>
    <col min="8" max="8" width="44" customWidth="1"/>
  </cols>
  <sheetData>
    <row r="1" spans="1:1" x14ac:dyDescent="0.25">
      <c r="A1" s="8" t="s">
        <v>185</v>
      </c>
    </row>
    <row r="2" ht="30" customHeight="1" spans="1:8" x14ac:dyDescent="0.25">
      <c r="A2" s="9" t="s">
        <v>186</v>
      </c>
      <c r="B2" s="9"/>
      <c r="C2" s="9"/>
      <c r="D2" s="9"/>
      <c r="E2" s="9"/>
      <c r="F2" s="9"/>
      <c r="G2" s="9"/>
      <c r="H2" s="9"/>
    </row>
    <row r="3" spans="1:6" x14ac:dyDescent="0.25">
      <c r="A3" s="3" t="s">
        <v>2</v>
      </c>
      <c r="B3" s="3"/>
      <c r="C3" s="3"/>
      <c r="D3" s="4" t="s">
        <v>3</v>
      </c>
      <c r="E3" s="4"/>
      <c r="F3" s="4"/>
    </row>
    <row r="4" spans="1:8" x14ac:dyDescent="0.25">
      <c r="A4" s="10" t="s">
        <v>20</v>
      </c>
      <c r="B4" s="10"/>
      <c r="C4" s="10"/>
      <c r="D4" s="10"/>
      <c r="E4" s="10"/>
      <c r="F4" s="10"/>
      <c r="G4" s="10"/>
      <c r="H4" s="10"/>
    </row>
    <row r="5" ht="30" customHeight="1" spans="1:8" x14ac:dyDescent="0.25">
      <c r="A5" s="11" t="s">
        <v>187</v>
      </c>
      <c r="B5" s="11" t="s">
        <v>188</v>
      </c>
      <c r="C5" s="11" t="s">
        <v>189</v>
      </c>
      <c r="D5" s="11" t="s">
        <v>190</v>
      </c>
      <c r="E5" s="11" t="s">
        <v>191</v>
      </c>
      <c r="F5" s="11" t="s">
        <v>192</v>
      </c>
      <c r="G5" s="11" t="s">
        <v>193</v>
      </c>
      <c r="H5" s="11" t="s">
        <v>194</v>
      </c>
    </row>
    <row r="6" ht="26" customHeight="1" spans="1:8" x14ac:dyDescent="0.25">
      <c r="A6" s="22" t="s">
        <v>195</v>
      </c>
      <c r="B6" s="32">
        <v>5</v>
      </c>
      <c r="C6" s="32">
        <v>5</v>
      </c>
      <c r="D6" s="32">
        <v>2</v>
      </c>
      <c r="E6" s="17">
        <f>B6*C6</f>
      </c>
      <c r="F6" s="17">
        <f>B6*D6</f>
      </c>
      <c r="G6" s="17">
        <f>E6-F6</f>
      </c>
      <c r="H6" s="31" t="s">
        <v>196</v>
      </c>
    </row>
    <row r="7" ht="26" customHeight="1" spans="1:8" x14ac:dyDescent="0.25">
      <c r="A7" s="22" t="s">
        <v>197</v>
      </c>
      <c r="B7" s="32">
        <v>5</v>
      </c>
      <c r="C7" s="32">
        <v>5</v>
      </c>
      <c r="D7" s="32">
        <v>2</v>
      </c>
      <c r="E7" s="17">
        <f>B7*C7</f>
      </c>
      <c r="F7" s="17">
        <f>B7*D7</f>
      </c>
      <c r="G7" s="17">
        <f>E7-F7</f>
      </c>
      <c r="H7" s="31" t="s">
        <v>198</v>
      </c>
    </row>
    <row r="8" ht="26" customHeight="1" spans="1:8" x14ac:dyDescent="0.25">
      <c r="A8" s="22" t="s">
        <v>199</v>
      </c>
      <c r="B8" s="32">
        <v>4</v>
      </c>
      <c r="C8" s="32">
        <v>3</v>
      </c>
      <c r="D8" s="32">
        <v>4</v>
      </c>
      <c r="E8" s="17">
        <f>B8*C8</f>
      </c>
      <c r="F8" s="17">
        <f>B8*D8</f>
      </c>
      <c r="G8" s="17">
        <f>E8-F8</f>
      </c>
      <c r="H8" s="31" t="s">
        <v>200</v>
      </c>
    </row>
    <row r="9" ht="26" customHeight="1" spans="1:8" x14ac:dyDescent="0.25">
      <c r="A9" s="22" t="s">
        <v>201</v>
      </c>
      <c r="B9" s="32">
        <v>3</v>
      </c>
      <c r="C9" s="32">
        <v>3</v>
      </c>
      <c r="D9" s="32">
        <v>4</v>
      </c>
      <c r="E9" s="17">
        <f>B9*C9</f>
      </c>
      <c r="F9" s="17">
        <f>B9*D9</f>
      </c>
      <c r="G9" s="17">
        <f>E9-F9</f>
      </c>
      <c r="H9" s="31" t="s">
        <v>202</v>
      </c>
    </row>
    <row r="10" ht="26" customHeight="1" spans="1:8" x14ac:dyDescent="0.25">
      <c r="A10" s="22" t="s">
        <v>203</v>
      </c>
      <c r="B10" s="32">
        <v>2</v>
      </c>
      <c r="C10" s="32">
        <v>2</v>
      </c>
      <c r="D10" s="32">
        <v>5</v>
      </c>
      <c r="E10" s="17">
        <f>B10*C10</f>
      </c>
      <c r="F10" s="17">
        <f>B10*D10</f>
      </c>
      <c r="G10" s="17">
        <f>E10-F10</f>
      </c>
      <c r="H10" s="31" t="s">
        <v>204</v>
      </c>
    </row>
    <row r="11" ht="26" customHeight="1" spans="1:8" x14ac:dyDescent="0.25">
      <c r="A11" s="22" t="s">
        <v>205</v>
      </c>
      <c r="B11" s="32">
        <v>5</v>
      </c>
      <c r="C11" s="32">
        <v>5</v>
      </c>
      <c r="D11" s="32">
        <v>3</v>
      </c>
      <c r="E11" s="17">
        <f>B11*C11</f>
      </c>
      <c r="F11" s="17">
        <f>B11*D11</f>
      </c>
      <c r="G11" s="17">
        <f>E11-F11</f>
      </c>
      <c r="H11" s="31" t="s">
        <v>206</v>
      </c>
    </row>
    <row r="12" spans="1:7" x14ac:dyDescent="0.25">
      <c r="A12" s="24" t="s">
        <v>143</v>
      </c>
      <c r="B12" s="17">
        <f>SUM(B6:B11)</f>
      </c>
      <c r="E12" s="25">
        <f>SUM(E6:E11)</f>
      </c>
      <c r="F12" s="25">
        <f>SUM(F6:F11)</f>
      </c>
      <c r="G12" s="17">
        <f>E12-F12</f>
      </c>
    </row>
    <row r="14" spans="1:2" x14ac:dyDescent="0.25">
      <c r="A14" s="5" t="s">
        <v>207</v>
      </c>
      <c r="B14" s="14">
        <f>IFERROR(E12/B12,"")</f>
      </c>
    </row>
    <row r="15" spans="1:2" x14ac:dyDescent="0.25">
      <c r="A15" s="5" t="s">
        <v>208</v>
      </c>
      <c r="B15" s="14">
        <f>IFERROR(F12/B12,"")</f>
      </c>
    </row>
    <row r="16" ht="26" customHeight="1" spans="1:8" x14ac:dyDescent="0.25">
      <c r="A16" s="5" t="s">
        <v>209</v>
      </c>
      <c r="B16" s="17">
        <f>'Break-even'!L27</f>
      </c>
      <c r="C16" s="9" t="s">
        <v>210</v>
      </c>
      <c r="D16" s="9"/>
      <c r="E16" s="9"/>
      <c r="F16" s="9"/>
      <c r="G16" s="9"/>
      <c r="H16" s="9"/>
    </row>
    <row r="18" ht="58" customHeight="1" spans="1:8" x14ac:dyDescent="0.25">
      <c r="A18" s="9" t="s">
        <v>211</v>
      </c>
      <c r="B18" s="9"/>
      <c r="C18" s="9"/>
      <c r="D18" s="9"/>
      <c r="E18" s="9"/>
      <c r="F18" s="9"/>
      <c r="G18" s="9"/>
      <c r="H18" s="9"/>
    </row>
  </sheetData>
  <mergeCells count="6">
    <mergeCell ref="A2:H2"/>
    <mergeCell ref="A3:C3"/>
    <mergeCell ref="D3:F3"/>
    <mergeCell ref="A4:H4"/>
    <mergeCell ref="C16:H16"/>
    <mergeCell ref="A18:H18"/>
  </mergeCells>
  <dataValidations count="2">
    <dataValidation type="list" showErrorMessage="1" errorTitle="Score 1 to 5" error="Allowed: 1, 2, 3, 4, 5" sqref="B10:D11">
      <formula1>"1,2,3,4,5"</formula1>
    </dataValidation>
    <dataValidation type="list" showErrorMessage="1" errorTitle="Score 1 to 5" error="Allowed: 1, 2, 3, 4, 5" sqref="B6:D11">
      <formula1>"1,2,3,4,5"</formula1>
    </dataValidation>
  </dataValidations>
  <pageMargins left="0.4" right="0.4" top="0.5" bottom="0.5" header="0.3" footer="0.3"/>
  <pageSetup orientation="portrait"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6"/>
  <sheetFormatPr defaultRowHeight="15" outlineLevelRow="0" outlineLevelCol="0" x14ac:dyDescent="55"/>
  <cols>
    <col min="1" max="1" width="110" customWidth="1"/>
  </cols>
  <sheetData>
    <row r="1" ht="18" customHeight="1" spans="1:1" x14ac:dyDescent="0.25">
      <c r="A1" s="33" t="s">
        <v>212</v>
      </c>
    </row>
    <row r="2" ht="18" customHeight="1" spans="1:1" x14ac:dyDescent="0.25">
      <c r="A2" s="34" t="s">
        <v>213</v>
      </c>
    </row>
    <row r="3" ht="18" customHeight="1" spans="1:1" x14ac:dyDescent="0.25">
      <c r="A3" s="33" t="s">
        <v>214</v>
      </c>
    </row>
    <row r="4" ht="58" customHeight="1" spans="1:1" x14ac:dyDescent="0.25">
      <c r="A4" s="5" t="s">
        <v>215</v>
      </c>
    </row>
    <row r="5" ht="58" customHeight="1" spans="1:1" x14ac:dyDescent="0.25">
      <c r="A5" s="5" t="s">
        <v>216</v>
      </c>
    </row>
    <row r="6" ht="18" customHeight="1" spans="1:1" x14ac:dyDescent="0.25">
      <c r="A6" s="33" t="s">
        <v>217</v>
      </c>
    </row>
    <row r="7" ht="58" customHeight="1" spans="1:1" x14ac:dyDescent="0.25">
      <c r="A7" s="5" t="s">
        <v>218</v>
      </c>
    </row>
    <row r="8" ht="58" customHeight="1" spans="1:1" x14ac:dyDescent="0.25">
      <c r="A8" s="5" t="s">
        <v>219</v>
      </c>
    </row>
    <row r="9" ht="58" customHeight="1" spans="1:1" x14ac:dyDescent="0.25">
      <c r="A9" s="5" t="s">
        <v>220</v>
      </c>
    </row>
    <row r="10" ht="18" customHeight="1" spans="1:1" x14ac:dyDescent="0.25">
      <c r="A10" s="33" t="s">
        <v>221</v>
      </c>
    </row>
    <row r="11" ht="58" customHeight="1" spans="1:1" x14ac:dyDescent="0.25">
      <c r="A11" s="5" t="s">
        <v>222</v>
      </c>
    </row>
    <row r="12" ht="58" customHeight="1" spans="1:1" x14ac:dyDescent="0.25">
      <c r="A12" s="5" t="s">
        <v>223</v>
      </c>
    </row>
    <row r="13" ht="18" customHeight="1" spans="1:1" x14ac:dyDescent="0.25">
      <c r="A13" s="33" t="s">
        <v>224</v>
      </c>
    </row>
    <row r="14" ht="58" customHeight="1" spans="1:1" x14ac:dyDescent="0.25">
      <c r="A14" s="5" t="s">
        <v>225</v>
      </c>
    </row>
    <row r="15" ht="58" customHeight="1" spans="1:1" x14ac:dyDescent="0.25">
      <c r="A15" s="5" t="s">
        <v>226</v>
      </c>
    </row>
    <row r="16" ht="18" customHeight="1" spans="1:1" x14ac:dyDescent="0.25">
      <c r="A16" s="34" t="s">
        <v>227</v>
      </c>
    </row>
  </sheetData>
  <pageMargins left="0.4" right="0.4" top="0.5" bottom="0.5" header="0.3" footer="0.3"/>
  <pageSetup orientation="portrait"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78" customWidth="1"/>
    <col min="2" max="2" width="12" customWidth="1"/>
  </cols>
  <sheetData>
    <row r="1" spans="1:1" x14ac:dyDescent="0.25">
      <c r="A1" s="20" t="s">
        <v>228</v>
      </c>
    </row>
    <row r="2" spans="1:1" x14ac:dyDescent="0.25">
      <c r="A2" s="35" t="s">
        <v>229</v>
      </c>
    </row>
    <row r="3" spans="1:1" x14ac:dyDescent="0.25">
      <c r="A3" s="35" t="s">
        <v>230</v>
      </c>
    </row>
    <row r="5" spans="1:1" x14ac:dyDescent="0.25">
      <c r="A5" s="20" t="s">
        <v>231</v>
      </c>
    </row>
    <row r="6" spans="1:1" x14ac:dyDescent="0.25">
      <c r="A6" s="36" t="s">
        <v>232</v>
      </c>
    </row>
    <row r="7" spans="1:2" x14ac:dyDescent="0.25">
      <c r="A7" s="37" t="s">
        <v>233</v>
      </c>
      <c r="B7" s="38" t="s">
        <v>234</v>
      </c>
    </row>
    <row r="8" spans="1:2" x14ac:dyDescent="0.25">
      <c r="A8" s="37" t="s">
        <v>235</v>
      </c>
      <c r="B8" s="38" t="s">
        <v>234</v>
      </c>
    </row>
    <row r="9" spans="1:2" x14ac:dyDescent="0.25">
      <c r="A9" s="37" t="s">
        <v>236</v>
      </c>
      <c r="B9" s="38" t="s">
        <v>234</v>
      </c>
    </row>
    <row r="10" spans="1:2" x14ac:dyDescent="0.25">
      <c r="A10" s="37" t="s">
        <v>237</v>
      </c>
      <c r="B10" s="38" t="s">
        <v>234</v>
      </c>
    </row>
    <row r="11" spans="1:2" x14ac:dyDescent="0.25">
      <c r="A11" s="37" t="s">
        <v>238</v>
      </c>
      <c r="B11" s="38" t="s">
        <v>234</v>
      </c>
    </row>
    <row r="12" spans="1:2" x14ac:dyDescent="0.25">
      <c r="A12" s="37" t="s">
        <v>239</v>
      </c>
      <c r="B12" s="38" t="s">
        <v>234</v>
      </c>
    </row>
    <row r="13" spans="1:2" x14ac:dyDescent="0.25">
      <c r="A13" s="37" t="s">
        <v>240</v>
      </c>
      <c r="B13" s="38" t="s">
        <v>234</v>
      </c>
    </row>
    <row r="14" spans="1:2" x14ac:dyDescent="0.25">
      <c r="A14" s="37" t="s">
        <v>241</v>
      </c>
      <c r="B14" s="38" t="s">
        <v>234</v>
      </c>
    </row>
    <row r="15" spans="1:2" x14ac:dyDescent="0.25">
      <c r="A15" s="37" t="s">
        <v>242</v>
      </c>
      <c r="B15" s="38" t="s">
        <v>234</v>
      </c>
    </row>
    <row r="16" spans="1:1" x14ac:dyDescent="0.25">
      <c r="A16" s="37" t="s">
        <v>243</v>
      </c>
    </row>
    <row r="17" spans="1:1" x14ac:dyDescent="0.25">
      <c r="A17" s="37" t="s">
        <v>244</v>
      </c>
    </row>
    <row r="18" spans="1:1" x14ac:dyDescent="0.25">
      <c r="A18" s="37" t="s">
        <v>245</v>
      </c>
    </row>
    <row r="20" spans="1:1" x14ac:dyDescent="0.25">
      <c r="A20" s="20" t="s">
        <v>246</v>
      </c>
    </row>
    <row r="21" spans="1:1" x14ac:dyDescent="0.25">
      <c r="A21" s="36" t="s">
        <v>247</v>
      </c>
    </row>
    <row r="22" spans="1:2" x14ac:dyDescent="0.25">
      <c r="A22" s="39" t="s">
        <v>248</v>
      </c>
      <c r="B22" s="40" t="s">
        <v>91</v>
      </c>
    </row>
    <row r="23" spans="1:2" x14ac:dyDescent="0.25">
      <c r="A23" s="39" t="s">
        <v>249</v>
      </c>
      <c r="B23" s="40" t="s">
        <v>91</v>
      </c>
    </row>
    <row r="24" spans="1:2" x14ac:dyDescent="0.25">
      <c r="A24" s="39" t="s">
        <v>250</v>
      </c>
      <c r="B24" s="40" t="s">
        <v>91</v>
      </c>
    </row>
    <row r="25" spans="1:2" x14ac:dyDescent="0.25">
      <c r="A25" s="39" t="s">
        <v>251</v>
      </c>
      <c r="B25" s="40" t="s">
        <v>91</v>
      </c>
    </row>
    <row r="26" spans="1:2" x14ac:dyDescent="0.25">
      <c r="A26" s="39" t="s">
        <v>252</v>
      </c>
      <c r="B26" s="40" t="s">
        <v>91</v>
      </c>
    </row>
    <row r="27" spans="1:2" x14ac:dyDescent="0.25">
      <c r="A27" s="39" t="s">
        <v>253</v>
      </c>
      <c r="B27" s="40" t="s">
        <v>91</v>
      </c>
    </row>
    <row r="29" spans="1:1" x14ac:dyDescent="0.25">
      <c r="A29" s="20" t="s">
        <v>254</v>
      </c>
    </row>
    <row r="30" spans="1:1" x14ac:dyDescent="0.25">
      <c r="A30" s="35" t="s">
        <v>255</v>
      </c>
    </row>
    <row r="31" spans="1:1" x14ac:dyDescent="0.25">
      <c r="A31" s="35" t="s">
        <v>256</v>
      </c>
    </row>
    <row r="32" spans="1:1" x14ac:dyDescent="0.25">
      <c r="A32" s="35" t="s">
        <v>257</v>
      </c>
    </row>
  </sheetData>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How to use</vt:lpstr>
      <vt:lpstr>Loaded rate</vt:lpstr>
      <vt:lpstr>Overhead build</vt:lpstr>
      <vt:lpstr>Break-even</vt:lpstr>
      <vt:lpstr>Hybrid plan</vt:lpstr>
      <vt:lpstr>Non-cost factors</vt:lpstr>
      <vt:lpstr>Compliance note</vt:lpstr>
      <vt:lpstr>Sources &amp; method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Fleet Desk</dc:creator>
  <dc:title>Shop rate &amp; break-even model</dc:title>
  <dc:subject>Shop rate &amp; break-even model — version 1.0</dc:subject>
  <dc:description/>
  <cp:keywords>fleet management, template</cp:keywords>
  <cp:category/>
  <cp:lastModifiedBy>Fleet Desk</cp:lastModifiedBy>
  <dcterms:created xsi:type="dcterms:W3CDTF">2026-08-04T13:54:04Z</dcterms:created>
  <dcterms:modified xsi:type="dcterms:W3CDTF">2026-08-04T13:54:04Z</dcterms:modified>
</cp:coreProperties>
</file>